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-15" yWindow="-15" windowWidth="10320" windowHeight="7770" tabRatio="766"/>
  </bookViews>
  <sheets>
    <sheet name="1A DE NOVIEMBRE DEFINITIVA" sheetId="17" r:id="rId1"/>
    <sheet name="Tablas 2015" sheetId="4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[1]FAC96!#REF!</definedName>
    <definedName name="_xlnm._FilterDatabase" localSheetId="0" hidden="1">'1A DE NOVIEMBRE DEFINITIVA'!$A$7:$AD$19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IF('1A DE NOVIEMBRE DEFINITIVA'!Values_Entered,Header_Row+'1A DE NOVIEMBRE DEFINITIVA'!Number_of_Payments,Header_Row)</definedName>
    <definedName name="Last_Row">IF('1A DE NOVIEMBRE DEFINITIVA'!Values_Entered,Header_Row+'1A DE NOVIEMBRE DEFINITIVA'!Number_of_Payments,Header_Row)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OFFSET(Full_Print,0,0,'1A DE NOVIEMBRE DEFINITIVA'!Last_Row)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'1A DE NOVIEMBRE DEFINITIVA'!$3:$7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R291" i="17"/>
  <c r="T291" s="1"/>
  <c r="Y291" s="1"/>
  <c r="Q291"/>
  <c r="P291"/>
  <c r="O291"/>
  <c r="S291" l="1"/>
  <c r="U291" s="1"/>
  <c r="AA291"/>
  <c r="Z291"/>
  <c r="AB291" l="1"/>
  <c r="R81" l="1"/>
  <c r="T81" s="1"/>
  <c r="Y81" s="1"/>
  <c r="Q81"/>
  <c r="P81"/>
  <c r="O81"/>
  <c r="X135"/>
  <c r="W135"/>
  <c r="V135"/>
  <c r="R231"/>
  <c r="T231" s="1"/>
  <c r="Y231" s="1"/>
  <c r="AA231" s="1"/>
  <c r="Q231"/>
  <c r="P231"/>
  <c r="O231"/>
  <c r="R260"/>
  <c r="T260" s="1"/>
  <c r="Y260" s="1"/>
  <c r="Q260"/>
  <c r="P260"/>
  <c r="O260"/>
  <c r="R124"/>
  <c r="T124" s="1"/>
  <c r="Y124" s="1"/>
  <c r="Q124"/>
  <c r="P124"/>
  <c r="O124"/>
  <c r="R63"/>
  <c r="T63" s="1"/>
  <c r="R146"/>
  <c r="T146" s="1"/>
  <c r="Y146" s="1"/>
  <c r="Q146"/>
  <c r="P146"/>
  <c r="O146"/>
  <c r="R39"/>
  <c r="T39" s="1"/>
  <c r="Y39" s="1"/>
  <c r="Q39"/>
  <c r="S39" s="1"/>
  <c r="U39" s="1"/>
  <c r="P39"/>
  <c r="O39"/>
  <c r="R218"/>
  <c r="T218" s="1"/>
  <c r="Y218" s="1"/>
  <c r="Q218"/>
  <c r="P218"/>
  <c r="O218"/>
  <c r="R125"/>
  <c r="T125" s="1"/>
  <c r="Y125" s="1"/>
  <c r="Q125"/>
  <c r="P125"/>
  <c r="O125"/>
  <c r="R114"/>
  <c r="T114" s="1"/>
  <c r="Y114" s="1"/>
  <c r="Q114"/>
  <c r="P114"/>
  <c r="O114"/>
  <c r="R321"/>
  <c r="T321" s="1"/>
  <c r="Y321" s="1"/>
  <c r="Q321"/>
  <c r="P321"/>
  <c r="O321"/>
  <c r="R259"/>
  <c r="T259" s="1"/>
  <c r="R115"/>
  <c r="T115" s="1"/>
  <c r="Y115" s="1"/>
  <c r="Q115"/>
  <c r="P115"/>
  <c r="O115"/>
  <c r="R371"/>
  <c r="T371" s="1"/>
  <c r="Y371" s="1"/>
  <c r="Q371"/>
  <c r="P371"/>
  <c r="O371"/>
  <c r="S146" l="1"/>
  <c r="U146" s="1"/>
  <c r="S218"/>
  <c r="U218" s="1"/>
  <c r="S114"/>
  <c r="U114" s="1"/>
  <c r="S125"/>
  <c r="U125" s="1"/>
  <c r="S321"/>
  <c r="S115"/>
  <c r="S124"/>
  <c r="U124" s="1"/>
  <c r="S260"/>
  <c r="S81"/>
  <c r="U81" s="1"/>
  <c r="AA81"/>
  <c r="Z81"/>
  <c r="S231"/>
  <c r="U231" s="1"/>
  <c r="AB231" s="1"/>
  <c r="AA260"/>
  <c r="Z260"/>
  <c r="U260"/>
  <c r="AA124"/>
  <c r="Z124"/>
  <c r="Y63"/>
  <c r="O63"/>
  <c r="Q63"/>
  <c r="P63"/>
  <c r="AA146"/>
  <c r="AB146" s="1"/>
  <c r="Z146"/>
  <c r="AA39"/>
  <c r="Z39"/>
  <c r="AB39" s="1"/>
  <c r="AA218"/>
  <c r="Z218"/>
  <c r="AA125"/>
  <c r="Z125"/>
  <c r="AA114"/>
  <c r="Z114"/>
  <c r="AA321"/>
  <c r="Z321"/>
  <c r="U321"/>
  <c r="Y259"/>
  <c r="O259"/>
  <c r="Q259"/>
  <c r="P259"/>
  <c r="AA115"/>
  <c r="Z115"/>
  <c r="U115"/>
  <c r="S371"/>
  <c r="U371" s="1"/>
  <c r="AA371"/>
  <c r="Z371"/>
  <c r="S63" l="1"/>
  <c r="U63" s="1"/>
  <c r="S259"/>
  <c r="U259" s="1"/>
  <c r="AB125"/>
  <c r="AB114"/>
  <c r="AB218"/>
  <c r="AB81"/>
  <c r="AB260"/>
  <c r="AB124"/>
  <c r="AA63"/>
  <c r="Z63"/>
  <c r="AB321"/>
  <c r="AA259"/>
  <c r="Z259"/>
  <c r="AB115"/>
  <c r="AB371"/>
  <c r="AB63" l="1"/>
  <c r="AB259"/>
  <c r="R106"/>
  <c r="T106" s="1"/>
  <c r="Y106" s="1"/>
  <c r="Q106"/>
  <c r="P106"/>
  <c r="O106"/>
  <c r="R105"/>
  <c r="T105" s="1"/>
  <c r="Y105" s="1"/>
  <c r="Q105"/>
  <c r="P105"/>
  <c r="O105"/>
  <c r="R238"/>
  <c r="T238" s="1"/>
  <c r="Y238" s="1"/>
  <c r="Q238"/>
  <c r="P238"/>
  <c r="O238"/>
  <c r="R237"/>
  <c r="T237" s="1"/>
  <c r="Y237" s="1"/>
  <c r="Q237"/>
  <c r="P237"/>
  <c r="O237"/>
  <c r="R67"/>
  <c r="T67" s="1"/>
  <c r="Y67" s="1"/>
  <c r="Q67"/>
  <c r="P67"/>
  <c r="O67"/>
  <c r="R153"/>
  <c r="T153" s="1"/>
  <c r="Y153" s="1"/>
  <c r="Q153"/>
  <c r="P153"/>
  <c r="O153"/>
  <c r="R134"/>
  <c r="T134" s="1"/>
  <c r="Y134" s="1"/>
  <c r="Q134"/>
  <c r="P134"/>
  <c r="O134"/>
  <c r="R64"/>
  <c r="T64" s="1"/>
  <c r="Y64" s="1"/>
  <c r="Q64"/>
  <c r="P64"/>
  <c r="O64"/>
  <c r="R56"/>
  <c r="T56" s="1"/>
  <c r="Y56" s="1"/>
  <c r="Q56"/>
  <c r="P56"/>
  <c r="O56"/>
  <c r="AC415"/>
  <c r="AC414"/>
  <c r="AC413"/>
  <c r="AC412"/>
  <c r="AC411"/>
  <c r="X411"/>
  <c r="W411"/>
  <c r="V411"/>
  <c r="AC410"/>
  <c r="R408"/>
  <c r="N408"/>
  <c r="O408" s="1"/>
  <c r="AC407"/>
  <c r="R407"/>
  <c r="N407"/>
  <c r="Q407" s="1"/>
  <c r="AC406"/>
  <c r="R406"/>
  <c r="O406"/>
  <c r="N406"/>
  <c r="Q406" s="1"/>
  <c r="AC405"/>
  <c r="R405"/>
  <c r="N405"/>
  <c r="Q405" s="1"/>
  <c r="R258"/>
  <c r="T258" s="1"/>
  <c r="Y258" s="1"/>
  <c r="AA258" s="1"/>
  <c r="Q258"/>
  <c r="P258"/>
  <c r="O258"/>
  <c r="R152"/>
  <c r="T152" s="1"/>
  <c r="Y152" s="1"/>
  <c r="Q152"/>
  <c r="P152"/>
  <c r="O152"/>
  <c r="R50"/>
  <c r="T50" s="1"/>
  <c r="Y50" s="1"/>
  <c r="Q50"/>
  <c r="P50"/>
  <c r="O50"/>
  <c r="R343"/>
  <c r="N343"/>
  <c r="R149"/>
  <c r="T149" s="1"/>
  <c r="Y149" s="1"/>
  <c r="Q149"/>
  <c r="P149"/>
  <c r="O149"/>
  <c r="R123"/>
  <c r="R160"/>
  <c r="T160" s="1"/>
  <c r="Y160" s="1"/>
  <c r="Q160"/>
  <c r="P160"/>
  <c r="O160"/>
  <c r="S105" l="1"/>
  <c r="U105" s="1"/>
  <c r="S106"/>
  <c r="U106" s="1"/>
  <c r="AA106"/>
  <c r="Z106"/>
  <c r="AA105"/>
  <c r="Z105"/>
  <c r="T343"/>
  <c r="S56"/>
  <c r="S64"/>
  <c r="S134"/>
  <c r="U134" s="1"/>
  <c r="S153"/>
  <c r="S67"/>
  <c r="U67" s="1"/>
  <c r="S237"/>
  <c r="U237" s="1"/>
  <c r="S238"/>
  <c r="U238" s="1"/>
  <c r="AA238"/>
  <c r="Z238"/>
  <c r="Z237"/>
  <c r="AA237"/>
  <c r="AA67"/>
  <c r="Z67"/>
  <c r="AA153"/>
  <c r="Z153"/>
  <c r="U153"/>
  <c r="AA134"/>
  <c r="Z134"/>
  <c r="AA64"/>
  <c r="Z64"/>
  <c r="U64"/>
  <c r="AA56"/>
  <c r="Z56"/>
  <c r="U56"/>
  <c r="R411"/>
  <c r="Q408"/>
  <c r="S258"/>
  <c r="U258" s="1"/>
  <c r="Q411"/>
  <c r="P405"/>
  <c r="S405" s="1"/>
  <c r="T405"/>
  <c r="P407"/>
  <c r="S407" s="1"/>
  <c r="T407"/>
  <c r="Y407" s="1"/>
  <c r="O405"/>
  <c r="P406"/>
  <c r="S406" s="1"/>
  <c r="T406"/>
  <c r="Y406" s="1"/>
  <c r="O407"/>
  <c r="P408"/>
  <c r="S408" s="1"/>
  <c r="T408"/>
  <c r="Y408" s="1"/>
  <c r="AB258"/>
  <c r="S152"/>
  <c r="U152" s="1"/>
  <c r="AA152"/>
  <c r="Z152"/>
  <c r="S50"/>
  <c r="U50" s="1"/>
  <c r="AA50"/>
  <c r="Z50"/>
  <c r="Y343"/>
  <c r="O343"/>
  <c r="Q343"/>
  <c r="P343"/>
  <c r="S160"/>
  <c r="U160" s="1"/>
  <c r="S149"/>
  <c r="U149" s="1"/>
  <c r="AA149"/>
  <c r="Z149"/>
  <c r="O123"/>
  <c r="Q123"/>
  <c r="P123"/>
  <c r="T123"/>
  <c r="Y123" s="1"/>
  <c r="AA160"/>
  <c r="Z160"/>
  <c r="AB67" l="1"/>
  <c r="AB105"/>
  <c r="AB237"/>
  <c r="AB134"/>
  <c r="AB238"/>
  <c r="AB106"/>
  <c r="S343"/>
  <c r="U343" s="1"/>
  <c r="AB152"/>
  <c r="U406"/>
  <c r="U407"/>
  <c r="AB153"/>
  <c r="AB64"/>
  <c r="AB56"/>
  <c r="AB50"/>
  <c r="U408"/>
  <c r="AA406"/>
  <c r="Z406"/>
  <c r="AA408"/>
  <c r="Z408"/>
  <c r="U405"/>
  <c r="S411"/>
  <c r="Z407"/>
  <c r="AA407"/>
  <c r="T411"/>
  <c r="O411"/>
  <c r="Y405"/>
  <c r="P411"/>
  <c r="AB160"/>
  <c r="AA343"/>
  <c r="Z343"/>
  <c r="AB149"/>
  <c r="S123"/>
  <c r="U123" s="1"/>
  <c r="AA123"/>
  <c r="Z123"/>
  <c r="AB407" l="1"/>
  <c r="AB408"/>
  <c r="AB406"/>
  <c r="AB343"/>
  <c r="Z405"/>
  <c r="Z411" s="1"/>
  <c r="Y411"/>
  <c r="AA405"/>
  <c r="AA411" s="1"/>
  <c r="U411"/>
  <c r="AB123"/>
  <c r="AB405" l="1"/>
  <c r="AB411" s="1"/>
  <c r="R66"/>
  <c r="T66" s="1"/>
  <c r="Y66" s="1"/>
  <c r="Q66"/>
  <c r="P66"/>
  <c r="O66"/>
  <c r="R385"/>
  <c r="T385" s="1"/>
  <c r="Y385" s="1"/>
  <c r="Q385"/>
  <c r="P385"/>
  <c r="O385"/>
  <c r="R65"/>
  <c r="T65" s="1"/>
  <c r="Y65" s="1"/>
  <c r="Q65"/>
  <c r="P65"/>
  <c r="O65"/>
  <c r="R80"/>
  <c r="T80" s="1"/>
  <c r="Y80" s="1"/>
  <c r="Q80"/>
  <c r="P80"/>
  <c r="O80"/>
  <c r="R151"/>
  <c r="T151" s="1"/>
  <c r="Y151" s="1"/>
  <c r="Q151"/>
  <c r="P151"/>
  <c r="O151"/>
  <c r="R386"/>
  <c r="T386" s="1"/>
  <c r="Y386" s="1"/>
  <c r="Q386"/>
  <c r="P386"/>
  <c r="O386"/>
  <c r="Z66" l="1"/>
  <c r="AA66"/>
  <c r="Z65"/>
  <c r="AA65"/>
  <c r="S386"/>
  <c r="U386" s="1"/>
  <c r="S151"/>
  <c r="U151" s="1"/>
  <c r="S80"/>
  <c r="U80" s="1"/>
  <c r="S385"/>
  <c r="S66"/>
  <c r="U66" s="1"/>
  <c r="AA385"/>
  <c r="Z385"/>
  <c r="U385"/>
  <c r="S65"/>
  <c r="U65" s="1"/>
  <c r="AA80"/>
  <c r="Z80"/>
  <c r="AA151"/>
  <c r="Z151"/>
  <c r="AA386"/>
  <c r="Z386"/>
  <c r="R74"/>
  <c r="T74" s="1"/>
  <c r="Y74" s="1"/>
  <c r="Q74"/>
  <c r="P74"/>
  <c r="O74"/>
  <c r="X75"/>
  <c r="W75"/>
  <c r="V75"/>
  <c r="R219"/>
  <c r="T219" s="1"/>
  <c r="Y219" s="1"/>
  <c r="Q219"/>
  <c r="P219"/>
  <c r="O219"/>
  <c r="R148"/>
  <c r="T148" s="1"/>
  <c r="Y148" s="1"/>
  <c r="Q148"/>
  <c r="P148"/>
  <c r="O148"/>
  <c r="AB65" l="1"/>
  <c r="AB66"/>
  <c r="S148"/>
  <c r="U148" s="1"/>
  <c r="S219"/>
  <c r="U219" s="1"/>
  <c r="S74"/>
  <c r="U74" s="1"/>
  <c r="AB385"/>
  <c r="AB80"/>
  <c r="AB151"/>
  <c r="AB386"/>
  <c r="AA74"/>
  <c r="Z74"/>
  <c r="AA219"/>
  <c r="Z219"/>
  <c r="AA148"/>
  <c r="Z148"/>
  <c r="R169"/>
  <c r="N169"/>
  <c r="P169" s="1"/>
  <c r="AB148" l="1"/>
  <c r="O169"/>
  <c r="Q169"/>
  <c r="S169" s="1"/>
  <c r="AB219"/>
  <c r="AB74"/>
  <c r="T169"/>
  <c r="Y169" s="1"/>
  <c r="Z169" s="1"/>
  <c r="R229"/>
  <c r="N229"/>
  <c r="R87"/>
  <c r="N87"/>
  <c r="X389"/>
  <c r="W389"/>
  <c r="V389"/>
  <c r="AC388"/>
  <c r="R388"/>
  <c r="N388"/>
  <c r="Q388" s="1"/>
  <c r="AC387"/>
  <c r="R387"/>
  <c r="N387"/>
  <c r="O387" s="1"/>
  <c r="AC384"/>
  <c r="R384"/>
  <c r="N384"/>
  <c r="Q384" s="1"/>
  <c r="AC383"/>
  <c r="R383"/>
  <c r="N383"/>
  <c r="O383" s="1"/>
  <c r="AC382"/>
  <c r="R382"/>
  <c r="N382"/>
  <c r="Q382" s="1"/>
  <c r="AC381"/>
  <c r="R381"/>
  <c r="N381"/>
  <c r="O381" s="1"/>
  <c r="AC380"/>
  <c r="R380"/>
  <c r="N380"/>
  <c r="Q380" s="1"/>
  <c r="AC379"/>
  <c r="R379"/>
  <c r="N379"/>
  <c r="O379" s="1"/>
  <c r="AC378"/>
  <c r="R378"/>
  <c r="N378"/>
  <c r="Q378" s="1"/>
  <c r="AC377"/>
  <c r="R377"/>
  <c r="N377"/>
  <c r="O377" s="1"/>
  <c r="AC376"/>
  <c r="R376"/>
  <c r="N376"/>
  <c r="Q376" s="1"/>
  <c r="AC375"/>
  <c r="R375"/>
  <c r="N375"/>
  <c r="O375" s="1"/>
  <c r="AC374"/>
  <c r="R374"/>
  <c r="N374"/>
  <c r="Q374" s="1"/>
  <c r="AC373"/>
  <c r="R373"/>
  <c r="N373"/>
  <c r="O373" s="1"/>
  <c r="AC372"/>
  <c r="R372"/>
  <c r="N372"/>
  <c r="Q372" s="1"/>
  <c r="AC371"/>
  <c r="AC370"/>
  <c r="R370"/>
  <c r="N370"/>
  <c r="Q370" s="1"/>
  <c r="AC369"/>
  <c r="R369"/>
  <c r="N369"/>
  <c r="O369" s="1"/>
  <c r="AC368"/>
  <c r="R368"/>
  <c r="N368"/>
  <c r="Q368" s="1"/>
  <c r="AC367"/>
  <c r="R367"/>
  <c r="N367"/>
  <c r="O367" s="1"/>
  <c r="AC366"/>
  <c r="R366"/>
  <c r="N366"/>
  <c r="Q366" s="1"/>
  <c r="AC365"/>
  <c r="R365"/>
  <c r="N365"/>
  <c r="O365" s="1"/>
  <c r="AC364"/>
  <c r="X126"/>
  <c r="W126"/>
  <c r="V126"/>
  <c r="X118"/>
  <c r="W118"/>
  <c r="V118"/>
  <c r="AA169" l="1"/>
  <c r="T374"/>
  <c r="T376"/>
  <c r="T378"/>
  <c r="T380"/>
  <c r="T382"/>
  <c r="T384"/>
  <c r="U169"/>
  <c r="T87"/>
  <c r="Y87" s="1"/>
  <c r="T365"/>
  <c r="T388"/>
  <c r="T229"/>
  <c r="Y229" s="1"/>
  <c r="T369"/>
  <c r="T367"/>
  <c r="Y367" s="1"/>
  <c r="O229"/>
  <c r="Q229"/>
  <c r="P229"/>
  <c r="O87"/>
  <c r="Q87"/>
  <c r="P87"/>
  <c r="T372"/>
  <c r="Q373"/>
  <c r="Q375"/>
  <c r="Q377"/>
  <c r="Q379"/>
  <c r="Q381"/>
  <c r="Q383"/>
  <c r="Q387"/>
  <c r="Y365"/>
  <c r="AA365" s="1"/>
  <c r="Q365"/>
  <c r="T366"/>
  <c r="Q367"/>
  <c r="T368"/>
  <c r="Y369"/>
  <c r="AA369" s="1"/>
  <c r="Q369"/>
  <c r="T370"/>
  <c r="Y370" s="1"/>
  <c r="P372"/>
  <c r="S372" s="1"/>
  <c r="U372" s="1"/>
  <c r="T373"/>
  <c r="Y373" s="1"/>
  <c r="T375"/>
  <c r="Y375" s="1"/>
  <c r="T377"/>
  <c r="Y377" s="1"/>
  <c r="T379"/>
  <c r="Y379" s="1"/>
  <c r="T381"/>
  <c r="Y381" s="1"/>
  <c r="T383"/>
  <c r="Y383" s="1"/>
  <c r="T387"/>
  <c r="Y387" s="1"/>
  <c r="Z365"/>
  <c r="Z369"/>
  <c r="P366"/>
  <c r="S366" s="1"/>
  <c r="U366" s="1"/>
  <c r="P368"/>
  <c r="S368" s="1"/>
  <c r="U368" s="1"/>
  <c r="P370"/>
  <c r="S370" s="1"/>
  <c r="Y372"/>
  <c r="P374"/>
  <c r="S374" s="1"/>
  <c r="U374" s="1"/>
  <c r="Y374"/>
  <c r="P376"/>
  <c r="S376" s="1"/>
  <c r="Y376"/>
  <c r="P378"/>
  <c r="S378" s="1"/>
  <c r="U378" s="1"/>
  <c r="Y378"/>
  <c r="P380"/>
  <c r="S380" s="1"/>
  <c r="Y380"/>
  <c r="P382"/>
  <c r="S382" s="1"/>
  <c r="U382" s="1"/>
  <c r="Y382"/>
  <c r="P384"/>
  <c r="S384" s="1"/>
  <c r="Y384"/>
  <c r="P388"/>
  <c r="S388" s="1"/>
  <c r="Y388"/>
  <c r="R389"/>
  <c r="Y366"/>
  <c r="Y368"/>
  <c r="P365"/>
  <c r="S365" s="1"/>
  <c r="O366"/>
  <c r="P367"/>
  <c r="O368"/>
  <c r="P369"/>
  <c r="S369" s="1"/>
  <c r="O370"/>
  <c r="O372"/>
  <c r="P373"/>
  <c r="O374"/>
  <c r="P375"/>
  <c r="S375" s="1"/>
  <c r="U375" s="1"/>
  <c r="O376"/>
  <c r="P377"/>
  <c r="O378"/>
  <c r="P379"/>
  <c r="S379" s="1"/>
  <c r="U379" s="1"/>
  <c r="O380"/>
  <c r="P381"/>
  <c r="O382"/>
  <c r="P383"/>
  <c r="S383" s="1"/>
  <c r="U383" s="1"/>
  <c r="O384"/>
  <c r="P387"/>
  <c r="O388"/>
  <c r="AD19"/>
  <c r="X19"/>
  <c r="W19"/>
  <c r="V19"/>
  <c r="AD268"/>
  <c r="X268"/>
  <c r="W268"/>
  <c r="V268"/>
  <c r="AC267"/>
  <c r="R267"/>
  <c r="N267"/>
  <c r="Q267" s="1"/>
  <c r="AC266"/>
  <c r="R266"/>
  <c r="N266"/>
  <c r="O266" s="1"/>
  <c r="AC265"/>
  <c r="R265"/>
  <c r="N265"/>
  <c r="Q265" s="1"/>
  <c r="AC264"/>
  <c r="R264"/>
  <c r="N264"/>
  <c r="O264" s="1"/>
  <c r="AC263"/>
  <c r="R263"/>
  <c r="N263"/>
  <c r="Q263" s="1"/>
  <c r="AC262"/>
  <c r="R262"/>
  <c r="N262"/>
  <c r="O262" s="1"/>
  <c r="AC261"/>
  <c r="R261"/>
  <c r="N261"/>
  <c r="Q261" s="1"/>
  <c r="AD243"/>
  <c r="X243"/>
  <c r="W243"/>
  <c r="V243"/>
  <c r="AC242"/>
  <c r="AC243" s="1"/>
  <c r="R242"/>
  <c r="R243" s="1"/>
  <c r="N242"/>
  <c r="Q242" s="1"/>
  <c r="Q243" s="1"/>
  <c r="AD239"/>
  <c r="X239"/>
  <c r="W239"/>
  <c r="V239"/>
  <c r="AC236"/>
  <c r="AC239" s="1"/>
  <c r="R236"/>
  <c r="R239" s="1"/>
  <c r="N236"/>
  <c r="Q236" s="1"/>
  <c r="Q239" s="1"/>
  <c r="X233"/>
  <c r="W233"/>
  <c r="V233"/>
  <c r="AC232"/>
  <c r="R232"/>
  <c r="N232"/>
  <c r="Q232" s="1"/>
  <c r="R230"/>
  <c r="N230"/>
  <c r="Q230" s="1"/>
  <c r="X221"/>
  <c r="W221"/>
  <c r="V221"/>
  <c r="R220"/>
  <c r="N220"/>
  <c r="Q220" s="1"/>
  <c r="AC217"/>
  <c r="R217"/>
  <c r="N217"/>
  <c r="Q217" s="1"/>
  <c r="X214"/>
  <c r="W214"/>
  <c r="V214"/>
  <c r="AC213"/>
  <c r="R213"/>
  <c r="N213"/>
  <c r="Q213" s="1"/>
  <c r="R212"/>
  <c r="N212"/>
  <c r="Q212" s="1"/>
  <c r="AC211"/>
  <c r="R211"/>
  <c r="N211"/>
  <c r="R210"/>
  <c r="N210"/>
  <c r="R209"/>
  <c r="N209"/>
  <c r="R208"/>
  <c r="N208"/>
  <c r="AC207"/>
  <c r="R207"/>
  <c r="N207"/>
  <c r="AC206"/>
  <c r="R206"/>
  <c r="N206"/>
  <c r="X202"/>
  <c r="W202"/>
  <c r="V202"/>
  <c r="AC201"/>
  <c r="R201"/>
  <c r="N201"/>
  <c r="Q201" s="1"/>
  <c r="AC200"/>
  <c r="R200"/>
  <c r="N200"/>
  <c r="O200" s="1"/>
  <c r="R199"/>
  <c r="N199"/>
  <c r="O199" s="1"/>
  <c r="AC198"/>
  <c r="R198"/>
  <c r="N198"/>
  <c r="Q198" s="1"/>
  <c r="AC197"/>
  <c r="R197"/>
  <c r="N197"/>
  <c r="O197" s="1"/>
  <c r="R196"/>
  <c r="N196"/>
  <c r="O196" s="1"/>
  <c r="AC195"/>
  <c r="R195"/>
  <c r="N195"/>
  <c r="Q195" s="1"/>
  <c r="AC194"/>
  <c r="R194"/>
  <c r="N194"/>
  <c r="O194" s="1"/>
  <c r="AC193"/>
  <c r="R193"/>
  <c r="N193"/>
  <c r="Q193" s="1"/>
  <c r="X189"/>
  <c r="W189"/>
  <c r="V189"/>
  <c r="AC188"/>
  <c r="R188"/>
  <c r="N188"/>
  <c r="Q188" s="1"/>
  <c r="AC187"/>
  <c r="R187"/>
  <c r="N187"/>
  <c r="O187" s="1"/>
  <c r="AD184"/>
  <c r="X184"/>
  <c r="W184"/>
  <c r="V184"/>
  <c r="R183"/>
  <c r="N183"/>
  <c r="O183" s="1"/>
  <c r="AC182"/>
  <c r="R182"/>
  <c r="N182"/>
  <c r="Q182" s="1"/>
  <c r="AC181"/>
  <c r="R181"/>
  <c r="N181"/>
  <c r="O181" s="1"/>
  <c r="X171"/>
  <c r="W171"/>
  <c r="V171"/>
  <c r="AC170"/>
  <c r="R170"/>
  <c r="N170"/>
  <c r="Q170" s="1"/>
  <c r="AC168"/>
  <c r="R168"/>
  <c r="N168"/>
  <c r="Q168" s="1"/>
  <c r="AC167"/>
  <c r="R167"/>
  <c r="N167"/>
  <c r="X163"/>
  <c r="W163"/>
  <c r="V163"/>
  <c r="R162"/>
  <c r="N162"/>
  <c r="R161"/>
  <c r="N161"/>
  <c r="R159"/>
  <c r="N159"/>
  <c r="R158"/>
  <c r="N158"/>
  <c r="R157"/>
  <c r="N157"/>
  <c r="R156"/>
  <c r="N156"/>
  <c r="R155"/>
  <c r="N155"/>
  <c r="R154"/>
  <c r="N154"/>
  <c r="AC122"/>
  <c r="R122"/>
  <c r="N122"/>
  <c r="Q122" s="1"/>
  <c r="AC121"/>
  <c r="R121"/>
  <c r="N121"/>
  <c r="Q121" s="1"/>
  <c r="AC117"/>
  <c r="R117"/>
  <c r="N117"/>
  <c r="Q117" s="1"/>
  <c r="R113"/>
  <c r="N113"/>
  <c r="X109"/>
  <c r="W109"/>
  <c r="V109"/>
  <c r="AC108"/>
  <c r="R108"/>
  <c r="N108"/>
  <c r="Q108" s="1"/>
  <c r="X91"/>
  <c r="W91"/>
  <c r="V91"/>
  <c r="X69"/>
  <c r="W69"/>
  <c r="V69"/>
  <c r="X58"/>
  <c r="W58"/>
  <c r="V58"/>
  <c r="X98"/>
  <c r="W98"/>
  <c r="V98"/>
  <c r="AC97"/>
  <c r="R97"/>
  <c r="T97" s="1"/>
  <c r="Y97" s="1"/>
  <c r="Q97"/>
  <c r="P97"/>
  <c r="O97"/>
  <c r="AC96"/>
  <c r="R96"/>
  <c r="T96" s="1"/>
  <c r="Y96" s="1"/>
  <c r="Q96"/>
  <c r="P96"/>
  <c r="O96"/>
  <c r="AC95"/>
  <c r="R95"/>
  <c r="T95" s="1"/>
  <c r="Y95" s="1"/>
  <c r="Q95"/>
  <c r="P95"/>
  <c r="O95"/>
  <c r="AC94"/>
  <c r="R94"/>
  <c r="T94" s="1"/>
  <c r="Y94" s="1"/>
  <c r="Q94"/>
  <c r="P94"/>
  <c r="O94"/>
  <c r="AC90"/>
  <c r="R90"/>
  <c r="N90"/>
  <c r="Q90" s="1"/>
  <c r="AC89"/>
  <c r="R89"/>
  <c r="N89"/>
  <c r="O89" s="1"/>
  <c r="AC88"/>
  <c r="R88"/>
  <c r="N88"/>
  <c r="O88" s="1"/>
  <c r="AC68"/>
  <c r="R68"/>
  <c r="N68"/>
  <c r="Q68" s="1"/>
  <c r="AC62"/>
  <c r="R62"/>
  <c r="N62"/>
  <c r="O62" s="1"/>
  <c r="AC55"/>
  <c r="R55"/>
  <c r="N55"/>
  <c r="Q55" s="1"/>
  <c r="AC54"/>
  <c r="R54"/>
  <c r="N54"/>
  <c r="R44"/>
  <c r="N44"/>
  <c r="Q44" s="1"/>
  <c r="AC43"/>
  <c r="R43"/>
  <c r="Q43"/>
  <c r="AC37"/>
  <c r="R37"/>
  <c r="N37"/>
  <c r="Q37" s="1"/>
  <c r="AC25"/>
  <c r="R25"/>
  <c r="N25"/>
  <c r="Q25" s="1"/>
  <c r="AC24"/>
  <c r="R24"/>
  <c r="T24" s="1"/>
  <c r="Y24" s="1"/>
  <c r="Q24"/>
  <c r="P24"/>
  <c r="O24"/>
  <c r="U388" l="1"/>
  <c r="U384"/>
  <c r="U380"/>
  <c r="U376"/>
  <c r="U370"/>
  <c r="AB169"/>
  <c r="Q389"/>
  <c r="AA367"/>
  <c r="Z367"/>
  <c r="S387"/>
  <c r="U387" s="1"/>
  <c r="S381"/>
  <c r="U381" s="1"/>
  <c r="S377"/>
  <c r="U377" s="1"/>
  <c r="S373"/>
  <c r="U373" s="1"/>
  <c r="U369"/>
  <c r="AB369" s="1"/>
  <c r="S367"/>
  <c r="U367" s="1"/>
  <c r="U365"/>
  <c r="AB365" s="1"/>
  <c r="S87"/>
  <c r="U87" s="1"/>
  <c r="S229"/>
  <c r="U229" s="1"/>
  <c r="Z87"/>
  <c r="AA87"/>
  <c r="AA229"/>
  <c r="Z229"/>
  <c r="T389"/>
  <c r="Z368"/>
  <c r="AA368"/>
  <c r="Z370"/>
  <c r="AA370"/>
  <c r="Y389"/>
  <c r="P389"/>
  <c r="Z366"/>
  <c r="AA366"/>
  <c r="Z388"/>
  <c r="AA388"/>
  <c r="Z384"/>
  <c r="AA384"/>
  <c r="Z382"/>
  <c r="AA382"/>
  <c r="Z380"/>
  <c r="AA380"/>
  <c r="Z378"/>
  <c r="AA378"/>
  <c r="Z376"/>
  <c r="AA376"/>
  <c r="Z374"/>
  <c r="AA374"/>
  <c r="Z372"/>
  <c r="AA372"/>
  <c r="AA387"/>
  <c r="Z387"/>
  <c r="AA383"/>
  <c r="Z383"/>
  <c r="AA381"/>
  <c r="Z381"/>
  <c r="AA379"/>
  <c r="Z379"/>
  <c r="AA377"/>
  <c r="Z377"/>
  <c r="AA375"/>
  <c r="Z375"/>
  <c r="AA373"/>
  <c r="Z373"/>
  <c r="O389"/>
  <c r="Q126"/>
  <c r="R126"/>
  <c r="T262"/>
  <c r="Y262" s="1"/>
  <c r="AA262" s="1"/>
  <c r="T266"/>
  <c r="Y266" s="1"/>
  <c r="AA266" s="1"/>
  <c r="Q221"/>
  <c r="O220"/>
  <c r="O230"/>
  <c r="T264"/>
  <c r="T220"/>
  <c r="T230"/>
  <c r="Y230" s="1"/>
  <c r="AA230" s="1"/>
  <c r="T232"/>
  <c r="T261"/>
  <c r="Y261" s="1"/>
  <c r="Q262"/>
  <c r="T263"/>
  <c r="Y264"/>
  <c r="Z264" s="1"/>
  <c r="Q264"/>
  <c r="T265"/>
  <c r="Y265" s="1"/>
  <c r="Q266"/>
  <c r="T267"/>
  <c r="Y267" s="1"/>
  <c r="P261"/>
  <c r="S261" s="1"/>
  <c r="P263"/>
  <c r="S263" s="1"/>
  <c r="Y263"/>
  <c r="P265"/>
  <c r="S265" s="1"/>
  <c r="U265" s="1"/>
  <c r="P267"/>
  <c r="S267" s="1"/>
  <c r="O261"/>
  <c r="P262"/>
  <c r="O263"/>
  <c r="P264"/>
  <c r="S264" s="1"/>
  <c r="O265"/>
  <c r="P266"/>
  <c r="O267"/>
  <c r="R221"/>
  <c r="R189"/>
  <c r="T201"/>
  <c r="T217"/>
  <c r="T221" s="1"/>
  <c r="T236"/>
  <c r="T239" s="1"/>
  <c r="T242"/>
  <c r="T243" s="1"/>
  <c r="P242"/>
  <c r="Y242"/>
  <c r="Y243" s="1"/>
  <c r="O242"/>
  <c r="O243" s="1"/>
  <c r="P236"/>
  <c r="Y236"/>
  <c r="Y239" s="1"/>
  <c r="O236"/>
  <c r="O239" s="1"/>
  <c r="P232"/>
  <c r="S232" s="1"/>
  <c r="U232" s="1"/>
  <c r="Y232"/>
  <c r="P230"/>
  <c r="S230" s="1"/>
  <c r="O232"/>
  <c r="T211"/>
  <c r="Y220"/>
  <c r="P217"/>
  <c r="O217"/>
  <c r="O221" s="1"/>
  <c r="P220"/>
  <c r="S220" s="1"/>
  <c r="U220" s="1"/>
  <c r="T154"/>
  <c r="T155"/>
  <c r="T156"/>
  <c r="T157"/>
  <c r="T158"/>
  <c r="T159"/>
  <c r="T161"/>
  <c r="T162"/>
  <c r="T182"/>
  <c r="T194"/>
  <c r="Y194" s="1"/>
  <c r="T197"/>
  <c r="Y197" s="1"/>
  <c r="Z197" s="1"/>
  <c r="T207"/>
  <c r="T196"/>
  <c r="Y196" s="1"/>
  <c r="T199"/>
  <c r="Y199" s="1"/>
  <c r="Q206"/>
  <c r="Q208"/>
  <c r="Q209"/>
  <c r="Q210"/>
  <c r="T193"/>
  <c r="Y193" s="1"/>
  <c r="Q194"/>
  <c r="T195"/>
  <c r="Y195" s="1"/>
  <c r="Q196"/>
  <c r="Q197"/>
  <c r="T198"/>
  <c r="Q199"/>
  <c r="T200"/>
  <c r="Y200" s="1"/>
  <c r="O206"/>
  <c r="T206"/>
  <c r="Y206" s="1"/>
  <c r="O208"/>
  <c r="T208"/>
  <c r="Y208" s="1"/>
  <c r="O209"/>
  <c r="T209"/>
  <c r="Y209" s="1"/>
  <c r="O210"/>
  <c r="T210"/>
  <c r="Y210" s="1"/>
  <c r="T212"/>
  <c r="Y212" s="1"/>
  <c r="T213"/>
  <c r="Y213" s="1"/>
  <c r="Y207"/>
  <c r="Y211"/>
  <c r="P206"/>
  <c r="O207"/>
  <c r="Q207"/>
  <c r="P208"/>
  <c r="P209"/>
  <c r="S209" s="1"/>
  <c r="U209" s="1"/>
  <c r="P210"/>
  <c r="S210" s="1"/>
  <c r="O211"/>
  <c r="Q211"/>
  <c r="P212"/>
  <c r="S212" s="1"/>
  <c r="P213"/>
  <c r="S213" s="1"/>
  <c r="U213" s="1"/>
  <c r="P207"/>
  <c r="P211"/>
  <c r="O212"/>
  <c r="O213"/>
  <c r="P193"/>
  <c r="S193" s="1"/>
  <c r="P195"/>
  <c r="S195" s="1"/>
  <c r="P198"/>
  <c r="S198" s="1"/>
  <c r="Y198"/>
  <c r="Q200"/>
  <c r="P201"/>
  <c r="S201" s="1"/>
  <c r="U201" s="1"/>
  <c r="Y201"/>
  <c r="O193"/>
  <c r="P194"/>
  <c r="S194" s="1"/>
  <c r="U194" s="1"/>
  <c r="O195"/>
  <c r="P196"/>
  <c r="S196" s="1"/>
  <c r="U196" s="1"/>
  <c r="P197"/>
  <c r="O198"/>
  <c r="P199"/>
  <c r="P200"/>
  <c r="O201"/>
  <c r="AC184"/>
  <c r="T187"/>
  <c r="T170"/>
  <c r="Y170" s="1"/>
  <c r="T167"/>
  <c r="Y167" s="1"/>
  <c r="Q181"/>
  <c r="Q183"/>
  <c r="O37"/>
  <c r="T55"/>
  <c r="T68"/>
  <c r="Y68" s="1"/>
  <c r="O98"/>
  <c r="T122"/>
  <c r="Y122" s="1"/>
  <c r="O167"/>
  <c r="T168"/>
  <c r="Y168" s="1"/>
  <c r="T181"/>
  <c r="T183"/>
  <c r="R184"/>
  <c r="Q187"/>
  <c r="Q189" s="1"/>
  <c r="T188"/>
  <c r="Y188" s="1"/>
  <c r="P188"/>
  <c r="S188" s="1"/>
  <c r="P187"/>
  <c r="O188"/>
  <c r="O189" s="1"/>
  <c r="Y183"/>
  <c r="P182"/>
  <c r="S182" s="1"/>
  <c r="Y182"/>
  <c r="P181"/>
  <c r="O182"/>
  <c r="O184" s="1"/>
  <c r="P183"/>
  <c r="P170"/>
  <c r="S170" s="1"/>
  <c r="O170"/>
  <c r="Q167"/>
  <c r="P168"/>
  <c r="S168" s="1"/>
  <c r="P167"/>
  <c r="O168"/>
  <c r="Y156"/>
  <c r="Z156" s="1"/>
  <c r="Y157"/>
  <c r="AA157" s="1"/>
  <c r="Y158"/>
  <c r="Z158" s="1"/>
  <c r="Y159"/>
  <c r="AA159" s="1"/>
  <c r="Y161"/>
  <c r="Y162"/>
  <c r="O161"/>
  <c r="Q161"/>
  <c r="O162"/>
  <c r="Q162"/>
  <c r="P161"/>
  <c r="P162"/>
  <c r="O156"/>
  <c r="Q156"/>
  <c r="O157"/>
  <c r="Q157"/>
  <c r="O158"/>
  <c r="Q158"/>
  <c r="O159"/>
  <c r="Q159"/>
  <c r="P156"/>
  <c r="P157"/>
  <c r="P158"/>
  <c r="P159"/>
  <c r="Y154"/>
  <c r="Y155"/>
  <c r="O154"/>
  <c r="Q154"/>
  <c r="O155"/>
  <c r="Q155"/>
  <c r="P154"/>
  <c r="P155"/>
  <c r="T89"/>
  <c r="Y89" s="1"/>
  <c r="AA89" s="1"/>
  <c r="P98"/>
  <c r="S95"/>
  <c r="U95" s="1"/>
  <c r="T108"/>
  <c r="Y108" s="1"/>
  <c r="T121"/>
  <c r="P122"/>
  <c r="S122" s="1"/>
  <c r="O122"/>
  <c r="P121"/>
  <c r="O121"/>
  <c r="O126" s="1"/>
  <c r="Q62"/>
  <c r="Q88"/>
  <c r="S97"/>
  <c r="U97" s="1"/>
  <c r="R98"/>
  <c r="T98"/>
  <c r="T54"/>
  <c r="T62"/>
  <c r="Y62" s="1"/>
  <c r="T88"/>
  <c r="Y88" s="1"/>
  <c r="Z88" s="1"/>
  <c r="Q89"/>
  <c r="T90"/>
  <c r="Y90" s="1"/>
  <c r="S94"/>
  <c r="S96"/>
  <c r="U96" s="1"/>
  <c r="Q98"/>
  <c r="T113"/>
  <c r="Y113" s="1"/>
  <c r="T117"/>
  <c r="Y117" s="1"/>
  <c r="P117"/>
  <c r="S117" s="1"/>
  <c r="O117"/>
  <c r="O113"/>
  <c r="Q113"/>
  <c r="P113"/>
  <c r="Y98"/>
  <c r="P108"/>
  <c r="S108" s="1"/>
  <c r="O108"/>
  <c r="AA94"/>
  <c r="Z94"/>
  <c r="AA96"/>
  <c r="Z96"/>
  <c r="AA95"/>
  <c r="Z95"/>
  <c r="Z97"/>
  <c r="AA97"/>
  <c r="P90"/>
  <c r="S90" s="1"/>
  <c r="P88"/>
  <c r="P89"/>
  <c r="S89" s="1"/>
  <c r="O90"/>
  <c r="P68"/>
  <c r="S68" s="1"/>
  <c r="O68"/>
  <c r="P62"/>
  <c r="O54"/>
  <c r="Q54"/>
  <c r="P55"/>
  <c r="S55" s="1"/>
  <c r="U55" s="1"/>
  <c r="Y55"/>
  <c r="P54"/>
  <c r="O55"/>
  <c r="T44"/>
  <c r="T37"/>
  <c r="Y37" s="1"/>
  <c r="O44"/>
  <c r="S24"/>
  <c r="U24" s="1"/>
  <c r="T25"/>
  <c r="T43"/>
  <c r="Y43" s="1"/>
  <c r="Y44"/>
  <c r="P43"/>
  <c r="S43" s="1"/>
  <c r="O43"/>
  <c r="P44"/>
  <c r="S44" s="1"/>
  <c r="P37"/>
  <c r="S37" s="1"/>
  <c r="P25"/>
  <c r="S25" s="1"/>
  <c r="Y25"/>
  <c r="O25"/>
  <c r="Z24"/>
  <c r="AA24"/>
  <c r="U170" l="1"/>
  <c r="U122"/>
  <c r="U230"/>
  <c r="AB367"/>
  <c r="U195"/>
  <c r="S88"/>
  <c r="U88" s="1"/>
  <c r="U193"/>
  <c r="AB378"/>
  <c r="U261"/>
  <c r="AA264"/>
  <c r="AB229"/>
  <c r="Z196"/>
  <c r="AA196"/>
  <c r="U68"/>
  <c r="U89"/>
  <c r="U182"/>
  <c r="S199"/>
  <c r="U199" s="1"/>
  <c r="S197"/>
  <c r="U197" s="1"/>
  <c r="S206"/>
  <c r="U206" s="1"/>
  <c r="Y217"/>
  <c r="Y221" s="1"/>
  <c r="S266"/>
  <c r="U266" s="1"/>
  <c r="U264"/>
  <c r="AB264" s="1"/>
  <c r="S262"/>
  <c r="U262" s="1"/>
  <c r="S389"/>
  <c r="AB372"/>
  <c r="AB374"/>
  <c r="AB376"/>
  <c r="AB382"/>
  <c r="AB388"/>
  <c r="S62"/>
  <c r="U62" s="1"/>
  <c r="U198"/>
  <c r="S208"/>
  <c r="U208" s="1"/>
  <c r="U267"/>
  <c r="U263"/>
  <c r="AB87"/>
  <c r="AA197"/>
  <c r="AB373"/>
  <c r="AB375"/>
  <c r="AB377"/>
  <c r="AB379"/>
  <c r="AB381"/>
  <c r="AB383"/>
  <c r="AB387"/>
  <c r="Z262"/>
  <c r="AB380"/>
  <c r="AB384"/>
  <c r="AB366"/>
  <c r="AB370"/>
  <c r="AB368"/>
  <c r="U389"/>
  <c r="Z389"/>
  <c r="AA389"/>
  <c r="S121"/>
  <c r="P126"/>
  <c r="Y121"/>
  <c r="Y126" s="1"/>
  <c r="T126"/>
  <c r="U25"/>
  <c r="U44"/>
  <c r="Z266"/>
  <c r="AB266" s="1"/>
  <c r="Z199"/>
  <c r="AA199"/>
  <c r="Z194"/>
  <c r="AA194"/>
  <c r="U168"/>
  <c r="U212"/>
  <c r="AB230"/>
  <c r="Z267"/>
  <c r="AA267"/>
  <c r="Z265"/>
  <c r="AA265"/>
  <c r="Z263"/>
  <c r="AA263"/>
  <c r="Z261"/>
  <c r="AA261"/>
  <c r="S217"/>
  <c r="P221"/>
  <c r="S242"/>
  <c r="P243"/>
  <c r="S236"/>
  <c r="P239"/>
  <c r="T184"/>
  <c r="Z242"/>
  <c r="AA242"/>
  <c r="AA243" s="1"/>
  <c r="Z236"/>
  <c r="AA236"/>
  <c r="AA239" s="1"/>
  <c r="Z232"/>
  <c r="AA232"/>
  <c r="Z217"/>
  <c r="AA220"/>
  <c r="Z220"/>
  <c r="AA200"/>
  <c r="Z200"/>
  <c r="S161"/>
  <c r="U161" s="1"/>
  <c r="S167"/>
  <c r="U167" s="1"/>
  <c r="S183"/>
  <c r="U183" s="1"/>
  <c r="Y181"/>
  <c r="AA181" s="1"/>
  <c r="AB196"/>
  <c r="U210"/>
  <c r="T189"/>
  <c r="AA210"/>
  <c r="Z210"/>
  <c r="AA209"/>
  <c r="Z209"/>
  <c r="Z208"/>
  <c r="AA208"/>
  <c r="AA206"/>
  <c r="Z206"/>
  <c r="S187"/>
  <c r="P189"/>
  <c r="U117"/>
  <c r="Z157"/>
  <c r="Y187"/>
  <c r="Y189" s="1"/>
  <c r="Z213"/>
  <c r="AA213"/>
  <c r="Z212"/>
  <c r="AA212"/>
  <c r="AA211"/>
  <c r="Z211"/>
  <c r="S211"/>
  <c r="U211" s="1"/>
  <c r="AA207"/>
  <c r="Z207"/>
  <c r="S207"/>
  <c r="U207" s="1"/>
  <c r="Z201"/>
  <c r="AA201"/>
  <c r="S200"/>
  <c r="U200" s="1"/>
  <c r="Z198"/>
  <c r="AA198"/>
  <c r="Z195"/>
  <c r="AA195"/>
  <c r="Z193"/>
  <c r="AA193"/>
  <c r="AA158"/>
  <c r="AA156"/>
  <c r="U108"/>
  <c r="U43"/>
  <c r="Z89"/>
  <c r="Z159"/>
  <c r="Z167"/>
  <c r="AA167"/>
  <c r="S181"/>
  <c r="P184"/>
  <c r="U188"/>
  <c r="U37"/>
  <c r="U90"/>
  <c r="AB96"/>
  <c r="S113"/>
  <c r="U113" s="1"/>
  <c r="Q184"/>
  <c r="Z188"/>
  <c r="AA188"/>
  <c r="Y184"/>
  <c r="Z182"/>
  <c r="AA182"/>
  <c r="AA183"/>
  <c r="Z183"/>
  <c r="Z170"/>
  <c r="AA170"/>
  <c r="Z168"/>
  <c r="AA168"/>
  <c r="S154"/>
  <c r="U154" s="1"/>
  <c r="S158"/>
  <c r="U158" s="1"/>
  <c r="AB158" s="1"/>
  <c r="S156"/>
  <c r="U156" s="1"/>
  <c r="AA161"/>
  <c r="Z161"/>
  <c r="AA162"/>
  <c r="Z162"/>
  <c r="S162"/>
  <c r="U162" s="1"/>
  <c r="S159"/>
  <c r="U159" s="1"/>
  <c r="AB159" s="1"/>
  <c r="S157"/>
  <c r="U157" s="1"/>
  <c r="AA154"/>
  <c r="Z154"/>
  <c r="AA155"/>
  <c r="Z155"/>
  <c r="S155"/>
  <c r="U155" s="1"/>
  <c r="Z122"/>
  <c r="AA122"/>
  <c r="U94"/>
  <c r="U98" s="1"/>
  <c r="S98"/>
  <c r="Y54"/>
  <c r="Z117"/>
  <c r="AA117"/>
  <c r="AA113"/>
  <c r="Z113"/>
  <c r="AB97"/>
  <c r="Z108"/>
  <c r="AA108"/>
  <c r="Z98"/>
  <c r="AA98"/>
  <c r="AB95"/>
  <c r="AB88"/>
  <c r="Z90"/>
  <c r="AA90"/>
  <c r="Z68"/>
  <c r="AA68"/>
  <c r="AA62"/>
  <c r="Z62"/>
  <c r="Z55"/>
  <c r="AA55"/>
  <c r="S54"/>
  <c r="AB24"/>
  <c r="Z43"/>
  <c r="AA43"/>
  <c r="AA44"/>
  <c r="Z44"/>
  <c r="AA37"/>
  <c r="Z37"/>
  <c r="Z25"/>
  <c r="AA25"/>
  <c r="AA268" l="1"/>
  <c r="AA121"/>
  <c r="AA126" s="1"/>
  <c r="AB157"/>
  <c r="AB89"/>
  <c r="AB262"/>
  <c r="AB94"/>
  <c r="AB194"/>
  <c r="AB200"/>
  <c r="AA217"/>
  <c r="AA221" s="1"/>
  <c r="AB199"/>
  <c r="AB197"/>
  <c r="AA187"/>
  <c r="AA189" s="1"/>
  <c r="Z121"/>
  <c r="Z126" s="1"/>
  <c r="Z181"/>
  <c r="Z184" s="1"/>
  <c r="AB389"/>
  <c r="AB210"/>
  <c r="U121"/>
  <c r="U126" s="1"/>
  <c r="S126"/>
  <c r="AB156"/>
  <c r="Z268"/>
  <c r="AB193"/>
  <c r="AB261"/>
  <c r="AB263"/>
  <c r="AB265"/>
  <c r="AB267"/>
  <c r="Z187"/>
  <c r="AB206"/>
  <c r="AB208"/>
  <c r="Z243"/>
  <c r="U236"/>
  <c r="U239" s="1"/>
  <c r="S239"/>
  <c r="U242"/>
  <c r="U243" s="1"/>
  <c r="S243"/>
  <c r="U217"/>
  <c r="U221" s="1"/>
  <c r="S221"/>
  <c r="AB198"/>
  <c r="AB201"/>
  <c r="AB232"/>
  <c r="Z239"/>
  <c r="Z221"/>
  <c r="AB220"/>
  <c r="AB209"/>
  <c r="AB207"/>
  <c r="U187"/>
  <c r="U189" s="1"/>
  <c r="S189"/>
  <c r="AB68"/>
  <c r="AB108"/>
  <c r="AB167"/>
  <c r="AB195"/>
  <c r="AB212"/>
  <c r="AB213"/>
  <c r="AB211"/>
  <c r="Z189"/>
  <c r="AB183"/>
  <c r="AB182"/>
  <c r="AB188"/>
  <c r="U181"/>
  <c r="U184" s="1"/>
  <c r="S184"/>
  <c r="AB168"/>
  <c r="AB170"/>
  <c r="AA184"/>
  <c r="AB161"/>
  <c r="AB154"/>
  <c r="AB90"/>
  <c r="AB98"/>
  <c r="AB162"/>
  <c r="AB155"/>
  <c r="AB122"/>
  <c r="AB37"/>
  <c r="AB62"/>
  <c r="AB117"/>
  <c r="U54"/>
  <c r="AA54"/>
  <c r="Z54"/>
  <c r="AB113"/>
  <c r="AB55"/>
  <c r="AB44"/>
  <c r="AB25"/>
  <c r="AB43"/>
  <c r="AB121" l="1"/>
  <c r="AB126" s="1"/>
  <c r="AB217"/>
  <c r="AB221" s="1"/>
  <c r="AB236"/>
  <c r="AB239" s="1"/>
  <c r="AB181"/>
  <c r="AB184" s="1"/>
  <c r="AB187"/>
  <c r="AB189" s="1"/>
  <c r="AB242"/>
  <c r="AB243" s="1"/>
  <c r="AB54"/>
  <c r="X82" l="1"/>
  <c r="W82"/>
  <c r="V82"/>
  <c r="AC165"/>
  <c r="R165"/>
  <c r="Q165"/>
  <c r="P165"/>
  <c r="O165"/>
  <c r="R32"/>
  <c r="T32" s="1"/>
  <c r="Y32" s="1"/>
  <c r="Q32"/>
  <c r="P32"/>
  <c r="O32"/>
  <c r="R166"/>
  <c r="T166" s="1"/>
  <c r="Y166" s="1"/>
  <c r="Q166"/>
  <c r="P166"/>
  <c r="O166"/>
  <c r="R86"/>
  <c r="T86" s="1"/>
  <c r="Y86" s="1"/>
  <c r="Q86"/>
  <c r="P86"/>
  <c r="O86"/>
  <c r="R78"/>
  <c r="T78" s="1"/>
  <c r="Y78" s="1"/>
  <c r="Q78"/>
  <c r="P78"/>
  <c r="O78"/>
  <c r="R142"/>
  <c r="T142" s="1"/>
  <c r="Y142" s="1"/>
  <c r="Q142"/>
  <c r="P142"/>
  <c r="O142"/>
  <c r="R79"/>
  <c r="T79" s="1"/>
  <c r="Y79" s="1"/>
  <c r="Q79"/>
  <c r="P79"/>
  <c r="O79"/>
  <c r="R38"/>
  <c r="T38" s="1"/>
  <c r="Y38" s="1"/>
  <c r="Q38"/>
  <c r="P38"/>
  <c r="O38"/>
  <c r="AC38"/>
  <c r="R150"/>
  <c r="T150" s="1"/>
  <c r="Y150" s="1"/>
  <c r="Q150"/>
  <c r="P150"/>
  <c r="O150"/>
  <c r="R205"/>
  <c r="Q205"/>
  <c r="Q214" s="1"/>
  <c r="P205"/>
  <c r="P214" s="1"/>
  <c r="O205"/>
  <c r="O214" s="1"/>
  <c r="R176"/>
  <c r="T176" s="1"/>
  <c r="Y176" s="1"/>
  <c r="AA176" s="1"/>
  <c r="Q176"/>
  <c r="P176"/>
  <c r="O176"/>
  <c r="R177"/>
  <c r="T177" s="1"/>
  <c r="Y177" s="1"/>
  <c r="AA177" s="1"/>
  <c r="Q177"/>
  <c r="P177"/>
  <c r="O177"/>
  <c r="R175"/>
  <c r="T175" s="1"/>
  <c r="Q175"/>
  <c r="P175"/>
  <c r="O175"/>
  <c r="X178"/>
  <c r="W178"/>
  <c r="V178"/>
  <c r="R174"/>
  <c r="T174" s="1"/>
  <c r="Y174" s="1"/>
  <c r="Q174"/>
  <c r="P174"/>
  <c r="O174"/>
  <c r="Q268"/>
  <c r="P268"/>
  <c r="O268"/>
  <c r="R31"/>
  <c r="T31" s="1"/>
  <c r="Y31" s="1"/>
  <c r="Q31"/>
  <c r="P31"/>
  <c r="O31"/>
  <c r="R116"/>
  <c r="T116" s="1"/>
  <c r="Y116" s="1"/>
  <c r="Q116"/>
  <c r="P116"/>
  <c r="O116"/>
  <c r="AC115"/>
  <c r="R228"/>
  <c r="T228" s="1"/>
  <c r="Y228" s="1"/>
  <c r="AA228" s="1"/>
  <c r="Q228"/>
  <c r="P228"/>
  <c r="O228"/>
  <c r="R247"/>
  <c r="T247" s="1"/>
  <c r="Y247" s="1"/>
  <c r="Q247"/>
  <c r="P247"/>
  <c r="O247"/>
  <c r="R226"/>
  <c r="T226" s="1"/>
  <c r="Y226" s="1"/>
  <c r="AA226" s="1"/>
  <c r="Q226"/>
  <c r="P226"/>
  <c r="O226"/>
  <c r="R227"/>
  <c r="Q227"/>
  <c r="R57"/>
  <c r="Q57"/>
  <c r="Q58" s="1"/>
  <c r="P57"/>
  <c r="P58" s="1"/>
  <c r="R246"/>
  <c r="T246" s="1"/>
  <c r="Y246" s="1"/>
  <c r="Q246"/>
  <c r="P246"/>
  <c r="O246"/>
  <c r="R253"/>
  <c r="T253" s="1"/>
  <c r="Y253" s="1"/>
  <c r="Q253"/>
  <c r="P253"/>
  <c r="O253"/>
  <c r="R45"/>
  <c r="N45"/>
  <c r="R23"/>
  <c r="T23" s="1"/>
  <c r="Y23" s="1"/>
  <c r="Q23"/>
  <c r="P23"/>
  <c r="O23"/>
  <c r="R141"/>
  <c r="R72"/>
  <c r="Q72"/>
  <c r="P72"/>
  <c r="O72"/>
  <c r="R138"/>
  <c r="T138" s="1"/>
  <c r="Y138" s="1"/>
  <c r="Q138"/>
  <c r="P138"/>
  <c r="O138"/>
  <c r="X51"/>
  <c r="W51"/>
  <c r="V51"/>
  <c r="AC50"/>
  <c r="AC49"/>
  <c r="R49"/>
  <c r="Q49"/>
  <c r="AA38" l="1"/>
  <c r="Z38"/>
  <c r="T72"/>
  <c r="Y72" s="1"/>
  <c r="AA72" s="1"/>
  <c r="AA142"/>
  <c r="Z142"/>
  <c r="AA32"/>
  <c r="Z32"/>
  <c r="R268"/>
  <c r="T205"/>
  <c r="T214" s="1"/>
  <c r="R214"/>
  <c r="Y205"/>
  <c r="Y214" s="1"/>
  <c r="T165"/>
  <c r="R171"/>
  <c r="P171"/>
  <c r="O171"/>
  <c r="Q171"/>
  <c r="T57"/>
  <c r="R58"/>
  <c r="R51"/>
  <c r="S174"/>
  <c r="S205"/>
  <c r="S214" s="1"/>
  <c r="S79"/>
  <c r="U79" s="1"/>
  <c r="S78"/>
  <c r="U78" s="1"/>
  <c r="S166"/>
  <c r="U166" s="1"/>
  <c r="S165"/>
  <c r="S32"/>
  <c r="U32" s="1"/>
  <c r="AA166"/>
  <c r="Z166"/>
  <c r="S86"/>
  <c r="U86" s="1"/>
  <c r="AA86"/>
  <c r="Z86"/>
  <c r="AA78"/>
  <c r="Z78"/>
  <c r="S142"/>
  <c r="U142" s="1"/>
  <c r="AA79"/>
  <c r="Z79"/>
  <c r="S38"/>
  <c r="U38" s="1"/>
  <c r="S150"/>
  <c r="U150" s="1"/>
  <c r="AA150"/>
  <c r="Z150"/>
  <c r="S176"/>
  <c r="U176" s="1"/>
  <c r="AB176" s="1"/>
  <c r="S177"/>
  <c r="U177" s="1"/>
  <c r="AB177" s="1"/>
  <c r="S175"/>
  <c r="U175" s="1"/>
  <c r="Y175"/>
  <c r="AA174"/>
  <c r="Z174"/>
  <c r="Z178" s="1"/>
  <c r="U174"/>
  <c r="S31"/>
  <c r="U31" s="1"/>
  <c r="AA31"/>
  <c r="Z31"/>
  <c r="S116"/>
  <c r="U116" s="1"/>
  <c r="AA116"/>
  <c r="Z116"/>
  <c r="S228"/>
  <c r="U228" s="1"/>
  <c r="AB228" s="1"/>
  <c r="S247"/>
  <c r="U247" s="1"/>
  <c r="AA247"/>
  <c r="Z247"/>
  <c r="S246"/>
  <c r="S226"/>
  <c r="U226" s="1"/>
  <c r="AB226" s="1"/>
  <c r="P227"/>
  <c r="S227" s="1"/>
  <c r="T227"/>
  <c r="Y227" s="1"/>
  <c r="AA227" s="1"/>
  <c r="O227"/>
  <c r="S57"/>
  <c r="AA246"/>
  <c r="Z246"/>
  <c r="U246"/>
  <c r="S253"/>
  <c r="U253" s="1"/>
  <c r="AA253"/>
  <c r="Z253"/>
  <c r="Q51"/>
  <c r="S138"/>
  <c r="U138" s="1"/>
  <c r="S72"/>
  <c r="T45"/>
  <c r="Y45" s="1"/>
  <c r="S23"/>
  <c r="U23" s="1"/>
  <c r="O45"/>
  <c r="Q45"/>
  <c r="P45"/>
  <c r="AA23"/>
  <c r="Z23"/>
  <c r="O141"/>
  <c r="Q141"/>
  <c r="P141"/>
  <c r="T141"/>
  <c r="Y141" s="1"/>
  <c r="AA138"/>
  <c r="Z138"/>
  <c r="P49"/>
  <c r="T49"/>
  <c r="O49"/>
  <c r="O51" s="1"/>
  <c r="Z72" l="1"/>
  <c r="U72"/>
  <c r="Z205"/>
  <c r="Z214" s="1"/>
  <c r="AB38"/>
  <c r="Y268"/>
  <c r="T268"/>
  <c r="S268"/>
  <c r="U205"/>
  <c r="U214" s="1"/>
  <c r="AA205"/>
  <c r="AA214" s="1"/>
  <c r="Y165"/>
  <c r="T171"/>
  <c r="U165"/>
  <c r="U171" s="1"/>
  <c r="S171"/>
  <c r="U57"/>
  <c r="U58" s="1"/>
  <c r="S58"/>
  <c r="Y57"/>
  <c r="T58"/>
  <c r="AB79"/>
  <c r="AB32"/>
  <c r="AB166"/>
  <c r="AB86"/>
  <c r="AB78"/>
  <c r="AB142"/>
  <c r="AB150"/>
  <c r="AA175"/>
  <c r="AA178" s="1"/>
  <c r="Y178"/>
  <c r="AB174"/>
  <c r="AB116"/>
  <c r="AB31"/>
  <c r="AB247"/>
  <c r="U227"/>
  <c r="AB227" s="1"/>
  <c r="AB246"/>
  <c r="AB253"/>
  <c r="AB138"/>
  <c r="S45"/>
  <c r="U45" s="1"/>
  <c r="P51"/>
  <c r="AB23"/>
  <c r="AA45"/>
  <c r="Z45"/>
  <c r="AB72"/>
  <c r="S141"/>
  <c r="U141" s="1"/>
  <c r="AA141"/>
  <c r="Z141"/>
  <c r="Y49"/>
  <c r="Y51" s="1"/>
  <c r="T51"/>
  <c r="S49"/>
  <c r="AB175" l="1"/>
  <c r="AB205"/>
  <c r="AB214" s="1"/>
  <c r="AB268"/>
  <c r="U268"/>
  <c r="Y171"/>
  <c r="AA165"/>
  <c r="AA171" s="1"/>
  <c r="Z165"/>
  <c r="Y58"/>
  <c r="Z57"/>
  <c r="Z58" s="1"/>
  <c r="AA57"/>
  <c r="AA58" s="1"/>
  <c r="AB45"/>
  <c r="S51"/>
  <c r="AB141"/>
  <c r="AA49"/>
  <c r="AA51" s="1"/>
  <c r="U49"/>
  <c r="U51" s="1"/>
  <c r="Z49"/>
  <c r="Z51" s="1"/>
  <c r="Z171" l="1"/>
  <c r="AB165"/>
  <c r="AB171" s="1"/>
  <c r="AB49"/>
  <c r="AB51" s="1"/>
  <c r="R293" l="1"/>
  <c r="N293"/>
  <c r="X143"/>
  <c r="W143"/>
  <c r="V143"/>
  <c r="T293" l="1"/>
  <c r="Y293" s="1"/>
  <c r="O293"/>
  <c r="Q293"/>
  <c r="P293"/>
  <c r="S293" l="1"/>
  <c r="U293" s="1"/>
  <c r="AA293"/>
  <c r="Z293"/>
  <c r="AC61"/>
  <c r="R61"/>
  <c r="R69" s="1"/>
  <c r="Q61"/>
  <c r="Q69" s="1"/>
  <c r="P61"/>
  <c r="P69" s="1"/>
  <c r="O61"/>
  <c r="O69" s="1"/>
  <c r="T61" l="1"/>
  <c r="T69" s="1"/>
  <c r="AB293"/>
  <c r="S61"/>
  <c r="S69" s="1"/>
  <c r="U61" l="1"/>
  <c r="U69" s="1"/>
  <c r="Y61"/>
  <c r="Y69" s="1"/>
  <c r="AA61" l="1"/>
  <c r="AA69" s="1"/>
  <c r="Z61"/>
  <c r="Z69" s="1"/>
  <c r="AB61" l="1"/>
  <c r="AB69" s="1"/>
  <c r="R301"/>
  <c r="N301"/>
  <c r="R286"/>
  <c r="N286"/>
  <c r="Q286" s="1"/>
  <c r="R308"/>
  <c r="N308"/>
  <c r="R310"/>
  <c r="N310"/>
  <c r="T301" l="1"/>
  <c r="Y301" s="1"/>
  <c r="O301"/>
  <c r="Q301"/>
  <c r="P301"/>
  <c r="P286"/>
  <c r="S286" s="1"/>
  <c r="T286"/>
  <c r="Y286" s="1"/>
  <c r="Z286" s="1"/>
  <c r="O286"/>
  <c r="T310"/>
  <c r="Y310" s="1"/>
  <c r="Z310" s="1"/>
  <c r="T308"/>
  <c r="Y308" s="1"/>
  <c r="O308"/>
  <c r="Q308"/>
  <c r="P308"/>
  <c r="O310"/>
  <c r="Q310"/>
  <c r="P310"/>
  <c r="Z308" l="1"/>
  <c r="AA308"/>
  <c r="S308"/>
  <c r="U308" s="1"/>
  <c r="U286"/>
  <c r="S301"/>
  <c r="U301" s="1"/>
  <c r="AA301"/>
  <c r="Z301"/>
  <c r="AB286"/>
  <c r="S310"/>
  <c r="U310" s="1"/>
  <c r="AB301" l="1"/>
  <c r="R288"/>
  <c r="N288"/>
  <c r="R347"/>
  <c r="T347" s="1"/>
  <c r="Y347" s="1"/>
  <c r="Q347"/>
  <c r="P347"/>
  <c r="O347"/>
  <c r="R36"/>
  <c r="T36" s="1"/>
  <c r="Y36" s="1"/>
  <c r="Z36" s="1"/>
  <c r="Q36"/>
  <c r="P288" l="1"/>
  <c r="O288"/>
  <c r="Q288"/>
  <c r="S288" s="1"/>
  <c r="T288"/>
  <c r="Y288" s="1"/>
  <c r="S347"/>
  <c r="U347" s="1"/>
  <c r="AA347"/>
  <c r="Z347"/>
  <c r="AA36"/>
  <c r="P36"/>
  <c r="S36" s="1"/>
  <c r="U36" s="1"/>
  <c r="O36"/>
  <c r="AA288" l="1"/>
  <c r="Z288"/>
  <c r="U288"/>
  <c r="AB347"/>
  <c r="AB36"/>
  <c r="AB288" l="1"/>
  <c r="R22"/>
  <c r="N22"/>
  <c r="R10"/>
  <c r="N10"/>
  <c r="R290"/>
  <c r="N290"/>
  <c r="T290" l="1"/>
  <c r="Y290" s="1"/>
  <c r="P22"/>
  <c r="O22"/>
  <c r="Q22"/>
  <c r="T22"/>
  <c r="Y22" s="1"/>
  <c r="O10"/>
  <c r="Q10"/>
  <c r="P10"/>
  <c r="T10"/>
  <c r="Y10" s="1"/>
  <c r="O290"/>
  <c r="Q290"/>
  <c r="P290"/>
  <c r="S22" l="1"/>
  <c r="U22" s="1"/>
  <c r="S10"/>
  <c r="U10" s="1"/>
  <c r="S290"/>
  <c r="U290" s="1"/>
  <c r="AA22"/>
  <c r="Z22"/>
  <c r="AA10"/>
  <c r="Z10"/>
  <c r="AA290"/>
  <c r="Z290"/>
  <c r="AB290" l="1"/>
  <c r="AB10"/>
  <c r="AB22"/>
  <c r="R307" l="1"/>
  <c r="N307"/>
  <c r="R315"/>
  <c r="N315"/>
  <c r="R304"/>
  <c r="N304"/>
  <c r="R299"/>
  <c r="N299"/>
  <c r="R311"/>
  <c r="N311"/>
  <c r="R314"/>
  <c r="N314"/>
  <c r="N354"/>
  <c r="N353"/>
  <c r="N352"/>
  <c r="N351"/>
  <c r="N350"/>
  <c r="N349"/>
  <c r="N345"/>
  <c r="N348"/>
  <c r="N346"/>
  <c r="N344"/>
  <c r="N342"/>
  <c r="N341"/>
  <c r="N324"/>
  <c r="N323"/>
  <c r="N322"/>
  <c r="N317"/>
  <c r="N316"/>
  <c r="N306"/>
  <c r="N305"/>
  <c r="N313"/>
  <c r="N312"/>
  <c r="N298"/>
  <c r="N309"/>
  <c r="AC304"/>
  <c r="R302"/>
  <c r="N302"/>
  <c r="Q302" s="1"/>
  <c r="AC302"/>
  <c r="R300"/>
  <c r="N300"/>
  <c r="Q300" s="1"/>
  <c r="AC300"/>
  <c r="N303"/>
  <c r="N297"/>
  <c r="N296"/>
  <c r="N295"/>
  <c r="N294"/>
  <c r="N292"/>
  <c r="N289"/>
  <c r="N287"/>
  <c r="N129"/>
  <c r="N112"/>
  <c r="T299" l="1"/>
  <c r="Y299" s="1"/>
  <c r="T304"/>
  <c r="O307"/>
  <c r="Q307"/>
  <c r="P307"/>
  <c r="T307"/>
  <c r="Y307" s="1"/>
  <c r="O315"/>
  <c r="Q315"/>
  <c r="P315"/>
  <c r="T315"/>
  <c r="Y315" s="1"/>
  <c r="Y304"/>
  <c r="O304"/>
  <c r="Q304"/>
  <c r="P304"/>
  <c r="O299"/>
  <c r="Q299"/>
  <c r="P299"/>
  <c r="O311"/>
  <c r="Q311"/>
  <c r="P311"/>
  <c r="T311"/>
  <c r="Y311" s="1"/>
  <c r="O314"/>
  <c r="Q314"/>
  <c r="P314"/>
  <c r="T314"/>
  <c r="Y314" s="1"/>
  <c r="P302"/>
  <c r="S302" s="1"/>
  <c r="T302"/>
  <c r="Y302" s="1"/>
  <c r="O302"/>
  <c r="P300"/>
  <c r="S300" s="1"/>
  <c r="T300"/>
  <c r="Y300" s="1"/>
  <c r="O300"/>
  <c r="O57"/>
  <c r="O58" s="1"/>
  <c r="N29"/>
  <c r="P29" s="1"/>
  <c r="O26"/>
  <c r="N17"/>
  <c r="P17" s="1"/>
  <c r="N16"/>
  <c r="P16" s="1"/>
  <c r="N15"/>
  <c r="P15" s="1"/>
  <c r="N14"/>
  <c r="O14" s="1"/>
  <c r="N13"/>
  <c r="P13" s="1"/>
  <c r="N12"/>
  <c r="P12" s="1"/>
  <c r="N11"/>
  <c r="P11" s="1"/>
  <c r="N9"/>
  <c r="P9" s="1"/>
  <c r="R345"/>
  <c r="T345" s="1"/>
  <c r="Y345" s="1"/>
  <c r="Q345"/>
  <c r="P345"/>
  <c r="O345"/>
  <c r="X26"/>
  <c r="W26"/>
  <c r="V26"/>
  <c r="R85"/>
  <c r="Q85"/>
  <c r="Q91" s="1"/>
  <c r="P85"/>
  <c r="P91" s="1"/>
  <c r="O85"/>
  <c r="O91" s="1"/>
  <c r="X40"/>
  <c r="W40"/>
  <c r="V40"/>
  <c r="AC39"/>
  <c r="AC32"/>
  <c r="A20" i="4"/>
  <c r="E20"/>
  <c r="I20"/>
  <c r="M1" i="17"/>
  <c r="AD1"/>
  <c r="O2"/>
  <c r="P2"/>
  <c r="V2" s="1"/>
  <c r="Q2"/>
  <c r="R2"/>
  <c r="T2" s="1"/>
  <c r="Y2"/>
  <c r="Z2" s="1"/>
  <c r="AC2"/>
  <c r="R9"/>
  <c r="AC9"/>
  <c r="O11"/>
  <c r="R11"/>
  <c r="AC11"/>
  <c r="Q12"/>
  <c r="R12"/>
  <c r="AC12"/>
  <c r="Q13"/>
  <c r="R13"/>
  <c r="AC13"/>
  <c r="R14"/>
  <c r="AC14"/>
  <c r="R15"/>
  <c r="AC15"/>
  <c r="R16"/>
  <c r="AC16"/>
  <c r="R17"/>
  <c r="AC17"/>
  <c r="O18"/>
  <c r="P18"/>
  <c r="Q18"/>
  <c r="R18"/>
  <c r="T18" s="1"/>
  <c r="AC18"/>
  <c r="R29"/>
  <c r="AC29"/>
  <c r="O30"/>
  <c r="P30"/>
  <c r="Q30"/>
  <c r="R30"/>
  <c r="T30" s="1"/>
  <c r="V33"/>
  <c r="W33"/>
  <c r="X33"/>
  <c r="V46"/>
  <c r="W46"/>
  <c r="X46"/>
  <c r="AC57"/>
  <c r="AC72"/>
  <c r="O73"/>
  <c r="O75" s="1"/>
  <c r="P73"/>
  <c r="P75" s="1"/>
  <c r="Q73"/>
  <c r="Q75" s="1"/>
  <c r="R73"/>
  <c r="AC73"/>
  <c r="O82"/>
  <c r="P82"/>
  <c r="R82"/>
  <c r="AC81"/>
  <c r="O101"/>
  <c r="P101"/>
  <c r="Q101"/>
  <c r="R101"/>
  <c r="AC101"/>
  <c r="O102"/>
  <c r="P102"/>
  <c r="Q102"/>
  <c r="R102"/>
  <c r="T102" s="1"/>
  <c r="Y102" s="1"/>
  <c r="AC102"/>
  <c r="O103"/>
  <c r="P103"/>
  <c r="Q103"/>
  <c r="R103"/>
  <c r="T103" s="1"/>
  <c r="Y103" s="1"/>
  <c r="AC103"/>
  <c r="O104"/>
  <c r="P104"/>
  <c r="Q104"/>
  <c r="R104"/>
  <c r="T104" s="1"/>
  <c r="Y104" s="1"/>
  <c r="AC104"/>
  <c r="O107"/>
  <c r="P107"/>
  <c r="Q107"/>
  <c r="R107"/>
  <c r="T107" s="1"/>
  <c r="Y107" s="1"/>
  <c r="O112"/>
  <c r="O118" s="1"/>
  <c r="P112"/>
  <c r="P118" s="1"/>
  <c r="Q112"/>
  <c r="Q118" s="1"/>
  <c r="R112"/>
  <c r="AC112"/>
  <c r="O129"/>
  <c r="O130" s="1"/>
  <c r="P129"/>
  <c r="Q129"/>
  <c r="Q130" s="1"/>
  <c r="R129"/>
  <c r="T129" s="1"/>
  <c r="Y129" s="1"/>
  <c r="Y130" s="1"/>
  <c r="AC129"/>
  <c r="P130"/>
  <c r="V130"/>
  <c r="W130"/>
  <c r="X130"/>
  <c r="O133"/>
  <c r="O135" s="1"/>
  <c r="P133"/>
  <c r="P135" s="1"/>
  <c r="Q133"/>
  <c r="Q135" s="1"/>
  <c r="R133"/>
  <c r="AC133"/>
  <c r="AC134"/>
  <c r="O139"/>
  <c r="P139"/>
  <c r="Q139"/>
  <c r="R139"/>
  <c r="AC139"/>
  <c r="O140"/>
  <c r="P140"/>
  <c r="Q140"/>
  <c r="R140"/>
  <c r="AC140"/>
  <c r="AC146"/>
  <c r="O147"/>
  <c r="O163" s="1"/>
  <c r="P147"/>
  <c r="P163" s="1"/>
  <c r="Q147"/>
  <c r="Q163" s="1"/>
  <c r="R147"/>
  <c r="D171"/>
  <c r="AC177"/>
  <c r="O192"/>
  <c r="O202" s="1"/>
  <c r="P192"/>
  <c r="P202" s="1"/>
  <c r="Q192"/>
  <c r="Q202" s="1"/>
  <c r="R192"/>
  <c r="R202" s="1"/>
  <c r="AC192"/>
  <c r="AC205"/>
  <c r="O225"/>
  <c r="O233" s="1"/>
  <c r="P225"/>
  <c r="P233" s="1"/>
  <c r="Q225"/>
  <c r="Q233" s="1"/>
  <c r="R225"/>
  <c r="O248"/>
  <c r="O249" s="1"/>
  <c r="P248"/>
  <c r="P249" s="1"/>
  <c r="Q248"/>
  <c r="R248"/>
  <c r="T248" s="1"/>
  <c r="Y248" s="1"/>
  <c r="Z248" s="1"/>
  <c r="V249"/>
  <c r="W249"/>
  <c r="X249"/>
  <c r="AC253"/>
  <c r="O254"/>
  <c r="P254"/>
  <c r="Q254"/>
  <c r="R254"/>
  <c r="T254" s="1"/>
  <c r="Y254" s="1"/>
  <c r="Z254" s="1"/>
  <c r="AC254"/>
  <c r="V255"/>
  <c r="W255"/>
  <c r="X255"/>
  <c r="AC258"/>
  <c r="AC268" s="1"/>
  <c r="O287"/>
  <c r="P287"/>
  <c r="Q287"/>
  <c r="R287"/>
  <c r="T287" s="1"/>
  <c r="Y287" s="1"/>
  <c r="Z287" s="1"/>
  <c r="AC287"/>
  <c r="O289"/>
  <c r="P289"/>
  <c r="Q289"/>
  <c r="R289"/>
  <c r="T289" s="1"/>
  <c r="Y289" s="1"/>
  <c r="Z289" s="1"/>
  <c r="AC289"/>
  <c r="AC291"/>
  <c r="O292"/>
  <c r="P292"/>
  <c r="Q292"/>
  <c r="R292"/>
  <c r="T292" s="1"/>
  <c r="Y292" s="1"/>
  <c r="AC292"/>
  <c r="AC293"/>
  <c r="O294"/>
  <c r="P294"/>
  <c r="Q294"/>
  <c r="R294"/>
  <c r="T294" s="1"/>
  <c r="Y294" s="1"/>
  <c r="AC294"/>
  <c r="O296"/>
  <c r="P296"/>
  <c r="Q296"/>
  <c r="R296"/>
  <c r="T296" s="1"/>
  <c r="Y296" s="1"/>
  <c r="Z296" s="1"/>
  <c r="O297"/>
  <c r="P297"/>
  <c r="Q297"/>
  <c r="R297"/>
  <c r="T297" s="1"/>
  <c r="Y297" s="1"/>
  <c r="AC295"/>
  <c r="O295"/>
  <c r="P295"/>
  <c r="Q295"/>
  <c r="R295"/>
  <c r="T295" s="1"/>
  <c r="Y295" s="1"/>
  <c r="Z295" s="1"/>
  <c r="AC297"/>
  <c r="AC298"/>
  <c r="O303"/>
  <c r="P303"/>
  <c r="Q303"/>
  <c r="R303"/>
  <c r="T303" s="1"/>
  <c r="Y303" s="1"/>
  <c r="AC299"/>
  <c r="AC303"/>
  <c r="O309"/>
  <c r="P309"/>
  <c r="Q309"/>
  <c r="R309"/>
  <c r="T309" s="1"/>
  <c r="Y309" s="1"/>
  <c r="AA309" s="1"/>
  <c r="AC308"/>
  <c r="AC310"/>
  <c r="O312"/>
  <c r="P312"/>
  <c r="Q312"/>
  <c r="R312"/>
  <c r="T312" s="1"/>
  <c r="Y312" s="1"/>
  <c r="Z312" s="1"/>
  <c r="O313"/>
  <c r="P313"/>
  <c r="Q313"/>
  <c r="R313"/>
  <c r="T313" s="1"/>
  <c r="Y313" s="1"/>
  <c r="AA313" s="1"/>
  <c r="O305"/>
  <c r="P305"/>
  <c r="Q305"/>
  <c r="R305"/>
  <c r="T305" s="1"/>
  <c r="Y305" s="1"/>
  <c r="AC312"/>
  <c r="O306"/>
  <c r="P306"/>
  <c r="Q306"/>
  <c r="R306"/>
  <c r="T306" s="1"/>
  <c r="Y306" s="1"/>
  <c r="AC313"/>
  <c r="AC314"/>
  <c r="O316"/>
  <c r="P316"/>
  <c r="Q316"/>
  <c r="R316"/>
  <c r="T316" s="1"/>
  <c r="Y316" s="1"/>
  <c r="Z316" s="1"/>
  <c r="AC316"/>
  <c r="O317"/>
  <c r="P317"/>
  <c r="Q317"/>
  <c r="R317"/>
  <c r="T317" s="1"/>
  <c r="Y317" s="1"/>
  <c r="AC317"/>
  <c r="O298"/>
  <c r="P298"/>
  <c r="Q298"/>
  <c r="R298"/>
  <c r="T298" s="1"/>
  <c r="Y298" s="1"/>
  <c r="Z298" s="1"/>
  <c r="V318"/>
  <c r="W318"/>
  <c r="X318"/>
  <c r="AC321"/>
  <c r="O322"/>
  <c r="P322"/>
  <c r="Q322"/>
  <c r="R322"/>
  <c r="T322" s="1"/>
  <c r="Y322" s="1"/>
  <c r="AC322"/>
  <c r="O323"/>
  <c r="P323"/>
  <c r="Q323"/>
  <c r="R323"/>
  <c r="T323" s="1"/>
  <c r="Y323" s="1"/>
  <c r="AC323"/>
  <c r="O324"/>
  <c r="P324"/>
  <c r="Q324"/>
  <c r="R324"/>
  <c r="T324" s="1"/>
  <c r="Y324" s="1"/>
  <c r="AC324"/>
  <c r="V325"/>
  <c r="W325"/>
  <c r="X325"/>
  <c r="AC327"/>
  <c r="AC328"/>
  <c r="AC329"/>
  <c r="AC330"/>
  <c r="AC331"/>
  <c r="AC332"/>
  <c r="AC335"/>
  <c r="AC336"/>
  <c r="AC337"/>
  <c r="AC338"/>
  <c r="AC339"/>
  <c r="AC340"/>
  <c r="O341"/>
  <c r="P341"/>
  <c r="Q341"/>
  <c r="R341"/>
  <c r="T341" s="1"/>
  <c r="Y341" s="1"/>
  <c r="AC341"/>
  <c r="O342"/>
  <c r="P342"/>
  <c r="Q342"/>
  <c r="R342"/>
  <c r="T342" s="1"/>
  <c r="Y342" s="1"/>
  <c r="O344"/>
  <c r="P344"/>
  <c r="Q344"/>
  <c r="R344"/>
  <c r="T344" s="1"/>
  <c r="Y344" s="1"/>
  <c r="O346"/>
  <c r="P346"/>
  <c r="Q346"/>
  <c r="R346"/>
  <c r="T346" s="1"/>
  <c r="Y346" s="1"/>
  <c r="Z346" s="1"/>
  <c r="AC346"/>
  <c r="O348"/>
  <c r="P348"/>
  <c r="Q348"/>
  <c r="R348"/>
  <c r="T348" s="1"/>
  <c r="O349"/>
  <c r="P349"/>
  <c r="Q349"/>
  <c r="R349"/>
  <c r="T349" s="1"/>
  <c r="Y349" s="1"/>
  <c r="AA349" s="1"/>
  <c r="AC349"/>
  <c r="O350"/>
  <c r="P350"/>
  <c r="Q350"/>
  <c r="R350"/>
  <c r="T350" s="1"/>
  <c r="Y350" s="1"/>
  <c r="AA350" s="1"/>
  <c r="AC350"/>
  <c r="O351"/>
  <c r="P351"/>
  <c r="Q351"/>
  <c r="R351"/>
  <c r="T351" s="1"/>
  <c r="Y351" s="1"/>
  <c r="AC351"/>
  <c r="O352"/>
  <c r="P352"/>
  <c r="Q352"/>
  <c r="R352"/>
  <c r="T352" s="1"/>
  <c r="Y352" s="1"/>
  <c r="AC352"/>
  <c r="O353"/>
  <c r="P353"/>
  <c r="Q353"/>
  <c r="R353"/>
  <c r="T353" s="1"/>
  <c r="Y353" s="1"/>
  <c r="AA353" s="1"/>
  <c r="AC353"/>
  <c r="O354"/>
  <c r="P354"/>
  <c r="Q354"/>
  <c r="R354"/>
  <c r="T354" s="1"/>
  <c r="Y354" s="1"/>
  <c r="Z354" s="1"/>
  <c r="AC354"/>
  <c r="V355"/>
  <c r="W355"/>
  <c r="X355"/>
  <c r="Q82"/>
  <c r="T133" l="1"/>
  <c r="R135"/>
  <c r="S294"/>
  <c r="W271"/>
  <c r="V271"/>
  <c r="X271"/>
  <c r="Z103"/>
  <c r="AA103"/>
  <c r="Z102"/>
  <c r="AA102"/>
  <c r="T73"/>
  <c r="T75" s="1"/>
  <c r="R75"/>
  <c r="O29"/>
  <c r="Q17"/>
  <c r="Y73"/>
  <c r="Z292"/>
  <c r="AA292"/>
  <c r="Z315"/>
  <c r="AA315"/>
  <c r="T112"/>
  <c r="T118" s="1"/>
  <c r="R118"/>
  <c r="R19"/>
  <c r="AC19"/>
  <c r="T225"/>
  <c r="R233"/>
  <c r="T147"/>
  <c r="R163"/>
  <c r="T85"/>
  <c r="R91"/>
  <c r="Q109"/>
  <c r="O109"/>
  <c r="T101"/>
  <c r="R109"/>
  <c r="P109"/>
  <c r="Z107"/>
  <c r="Q15"/>
  <c r="S15" s="1"/>
  <c r="Q29"/>
  <c r="S29" s="1"/>
  <c r="O17"/>
  <c r="O15"/>
  <c r="O13"/>
  <c r="Q11"/>
  <c r="S11" s="1"/>
  <c r="O16"/>
  <c r="T14"/>
  <c r="Y14" s="1"/>
  <c r="Z14" s="1"/>
  <c r="O9"/>
  <c r="Q178"/>
  <c r="O178"/>
  <c r="S345"/>
  <c r="T178"/>
  <c r="R178"/>
  <c r="P178"/>
  <c r="R33"/>
  <c r="Q16"/>
  <c r="S16" s="1"/>
  <c r="P14"/>
  <c r="P19" s="1"/>
  <c r="O12"/>
  <c r="T9"/>
  <c r="S2"/>
  <c r="U2" s="1"/>
  <c r="S30"/>
  <c r="U30" s="1"/>
  <c r="R249"/>
  <c r="S296"/>
  <c r="U296" s="1"/>
  <c r="S292"/>
  <c r="U292" s="1"/>
  <c r="Q26"/>
  <c r="T16"/>
  <c r="Y16" s="1"/>
  <c r="AA16" s="1"/>
  <c r="Q14"/>
  <c r="T12"/>
  <c r="Y12" s="1"/>
  <c r="Z12" s="1"/>
  <c r="Q9"/>
  <c r="O46"/>
  <c r="Q255"/>
  <c r="Q143"/>
  <c r="O143"/>
  <c r="T139"/>
  <c r="R143"/>
  <c r="P143"/>
  <c r="S18"/>
  <c r="U18" s="1"/>
  <c r="AB18" s="1"/>
  <c r="S17"/>
  <c r="S129"/>
  <c r="S130" s="1"/>
  <c r="R46"/>
  <c r="T29"/>
  <c r="Y29" s="1"/>
  <c r="Z29" s="1"/>
  <c r="T17"/>
  <c r="Y17" s="1"/>
  <c r="Z17" s="1"/>
  <c r="T15"/>
  <c r="Y15" s="1"/>
  <c r="Z15" s="1"/>
  <c r="T13"/>
  <c r="Y13" s="1"/>
  <c r="AA13" s="1"/>
  <c r="T11"/>
  <c r="Y11" s="1"/>
  <c r="AA11" s="1"/>
  <c r="S306"/>
  <c r="U306" s="1"/>
  <c r="Z309"/>
  <c r="R355"/>
  <c r="S316"/>
  <c r="U316" s="1"/>
  <c r="S297"/>
  <c r="U297" s="1"/>
  <c r="S287"/>
  <c r="U287" s="1"/>
  <c r="S139"/>
  <c r="S352"/>
  <c r="U352" s="1"/>
  <c r="S309"/>
  <c r="U309" s="1"/>
  <c r="S303"/>
  <c r="U303" s="1"/>
  <c r="S147"/>
  <c r="S102"/>
  <c r="U102" s="1"/>
  <c r="S101"/>
  <c r="R130"/>
  <c r="R318"/>
  <c r="S299"/>
  <c r="U299" s="1"/>
  <c r="S254"/>
  <c r="U254" s="1"/>
  <c r="O255"/>
  <c r="T255"/>
  <c r="P255"/>
  <c r="S192"/>
  <c r="S202" s="1"/>
  <c r="S304"/>
  <c r="U304" s="1"/>
  <c r="S314"/>
  <c r="U314" s="1"/>
  <c r="S307"/>
  <c r="U307" s="1"/>
  <c r="AA307"/>
  <c r="Z307"/>
  <c r="S315"/>
  <c r="U315" s="1"/>
  <c r="AA304"/>
  <c r="Z304"/>
  <c r="AA299"/>
  <c r="Z299"/>
  <c r="S346"/>
  <c r="U346" s="1"/>
  <c r="S341"/>
  <c r="U341" s="1"/>
  <c r="S324"/>
  <c r="U324" s="1"/>
  <c r="Q325"/>
  <c r="S317"/>
  <c r="U317" s="1"/>
  <c r="S305"/>
  <c r="U305" s="1"/>
  <c r="S313"/>
  <c r="U313" s="1"/>
  <c r="U300"/>
  <c r="S311"/>
  <c r="U311" s="1"/>
  <c r="AA311"/>
  <c r="Z311"/>
  <c r="AA314"/>
  <c r="Z314"/>
  <c r="S12"/>
  <c r="U302"/>
  <c r="AA312"/>
  <c r="AA323"/>
  <c r="Z323"/>
  <c r="AA310"/>
  <c r="AB310" s="1"/>
  <c r="AA305"/>
  <c r="Z305"/>
  <c r="Z322"/>
  <c r="AA322"/>
  <c r="Z317"/>
  <c r="AA317"/>
  <c r="Z306"/>
  <c r="AA306"/>
  <c r="S351"/>
  <c r="U351" s="1"/>
  <c r="S342"/>
  <c r="U342" s="1"/>
  <c r="W328"/>
  <c r="S323"/>
  <c r="U323" s="1"/>
  <c r="S322"/>
  <c r="U322" s="1"/>
  <c r="O325"/>
  <c r="R325"/>
  <c r="P325"/>
  <c r="X328"/>
  <c r="V328"/>
  <c r="S298"/>
  <c r="U298" s="1"/>
  <c r="R40"/>
  <c r="Z303"/>
  <c r="AA303"/>
  <c r="T325"/>
  <c r="S354"/>
  <c r="U354" s="1"/>
  <c r="S350"/>
  <c r="U350" s="1"/>
  <c r="Y348"/>
  <c r="Z348" s="1"/>
  <c r="T355"/>
  <c r="Z294"/>
  <c r="AA294"/>
  <c r="Y249"/>
  <c r="T249"/>
  <c r="Z345"/>
  <c r="AA345"/>
  <c r="U294"/>
  <c r="S353"/>
  <c r="U353" s="1"/>
  <c r="S349"/>
  <c r="U349" s="1"/>
  <c r="S348"/>
  <c r="U348" s="1"/>
  <c r="S225"/>
  <c r="S112"/>
  <c r="S107"/>
  <c r="U107" s="1"/>
  <c r="S104"/>
  <c r="U104" s="1"/>
  <c r="S103"/>
  <c r="U103" s="1"/>
  <c r="P33"/>
  <c r="S85"/>
  <c r="S73"/>
  <c r="Z302"/>
  <c r="AA302"/>
  <c r="Z300"/>
  <c r="AA300"/>
  <c r="Z297"/>
  <c r="AA297"/>
  <c r="S295"/>
  <c r="U295" s="1"/>
  <c r="AB295" s="1"/>
  <c r="P318"/>
  <c r="Q318"/>
  <c r="O318"/>
  <c r="T130"/>
  <c r="P46"/>
  <c r="O33"/>
  <c r="S13"/>
  <c r="Y46"/>
  <c r="AA352"/>
  <c r="Z352"/>
  <c r="AA351"/>
  <c r="Z351"/>
  <c r="Q249"/>
  <c r="S248"/>
  <c r="T192"/>
  <c r="T202" s="1"/>
  <c r="T140"/>
  <c r="Y112"/>
  <c r="Y118" s="1"/>
  <c r="AA104"/>
  <c r="Z104"/>
  <c r="AA344"/>
  <c r="Z344"/>
  <c r="P355"/>
  <c r="S344"/>
  <c r="U344" s="1"/>
  <c r="AA341"/>
  <c r="Z341"/>
  <c r="Z324"/>
  <c r="AA324"/>
  <c r="T318"/>
  <c r="S133"/>
  <c r="S135" s="1"/>
  <c r="O40"/>
  <c r="N1"/>
  <c r="Y30"/>
  <c r="S140"/>
  <c r="AA254"/>
  <c r="AA287"/>
  <c r="P26"/>
  <c r="R255"/>
  <c r="AA346"/>
  <c r="Z350"/>
  <c r="AA354"/>
  <c r="AA248"/>
  <c r="S82"/>
  <c r="S289"/>
  <c r="U289" s="1"/>
  <c r="Q355"/>
  <c r="O355"/>
  <c r="S312"/>
  <c r="U312" s="1"/>
  <c r="R26"/>
  <c r="U345"/>
  <c r="Y255"/>
  <c r="AA289"/>
  <c r="AA130"/>
  <c r="Z46"/>
  <c r="AA296"/>
  <c r="Z353"/>
  <c r="AA107"/>
  <c r="AA2"/>
  <c r="Z349"/>
  <c r="Z255"/>
  <c r="AA342"/>
  <c r="Z342"/>
  <c r="AA298"/>
  <c r="AA316"/>
  <c r="Z313"/>
  <c r="Y133" l="1"/>
  <c r="T135"/>
  <c r="R271"/>
  <c r="Y75"/>
  <c r="Z73"/>
  <c r="Z75" s="1"/>
  <c r="AA73"/>
  <c r="AA75" s="1"/>
  <c r="U73"/>
  <c r="S75"/>
  <c r="U112"/>
  <c r="U118" s="1"/>
  <c r="S118"/>
  <c r="Y9"/>
  <c r="Y19" s="1"/>
  <c r="T19"/>
  <c r="S9"/>
  <c r="Q19"/>
  <c r="U225"/>
  <c r="U233" s="1"/>
  <c r="S233"/>
  <c r="Y225"/>
  <c r="T233"/>
  <c r="U147"/>
  <c r="U163" s="1"/>
  <c r="S163"/>
  <c r="Y147"/>
  <c r="T163"/>
  <c r="U101"/>
  <c r="S109"/>
  <c r="Y101"/>
  <c r="T109"/>
  <c r="Y85"/>
  <c r="T91"/>
  <c r="U85"/>
  <c r="U91" s="1"/>
  <c r="S91"/>
  <c r="AA14"/>
  <c r="W1"/>
  <c r="Q33"/>
  <c r="AA17"/>
  <c r="AB287"/>
  <c r="U129"/>
  <c r="U130" s="1"/>
  <c r="U13"/>
  <c r="AB309"/>
  <c r="U9"/>
  <c r="O19"/>
  <c r="O271" s="1"/>
  <c r="AB354"/>
  <c r="AA12"/>
  <c r="Z13"/>
  <c r="AB316"/>
  <c r="AB2"/>
  <c r="Q40"/>
  <c r="Y325"/>
  <c r="Z16"/>
  <c r="T46"/>
  <c r="U17"/>
  <c r="U12"/>
  <c r="AB294"/>
  <c r="S255"/>
  <c r="O328"/>
  <c r="P328"/>
  <c r="R328"/>
  <c r="AB303"/>
  <c r="U139"/>
  <c r="AB313"/>
  <c r="AB353"/>
  <c r="AB296"/>
  <c r="AB312"/>
  <c r="AB350"/>
  <c r="S14"/>
  <c r="U14" s="1"/>
  <c r="S178"/>
  <c r="Y82"/>
  <c r="T82"/>
  <c r="U16"/>
  <c r="AA29"/>
  <c r="AA348"/>
  <c r="AB348" s="1"/>
  <c r="Y33"/>
  <c r="AB292"/>
  <c r="Y139"/>
  <c r="T143"/>
  <c r="S143"/>
  <c r="Y40"/>
  <c r="Z11"/>
  <c r="AB102"/>
  <c r="U15"/>
  <c r="U29"/>
  <c r="AB103"/>
  <c r="AB346"/>
  <c r="X1"/>
  <c r="T33"/>
  <c r="U11"/>
  <c r="AA15"/>
  <c r="AB349"/>
  <c r="T40"/>
  <c r="S26"/>
  <c r="AB323"/>
  <c r="AB305"/>
  <c r="AB297"/>
  <c r="AB352"/>
  <c r="AB306"/>
  <c r="AB317"/>
  <c r="AB322"/>
  <c r="AB254"/>
  <c r="AB345"/>
  <c r="Y355"/>
  <c r="U255"/>
  <c r="Q328"/>
  <c r="AB308"/>
  <c r="AB304"/>
  <c r="AB299"/>
  <c r="AB307"/>
  <c r="AB315"/>
  <c r="AB311"/>
  <c r="AB314"/>
  <c r="S33"/>
  <c r="AB302"/>
  <c r="AA46"/>
  <c r="U355"/>
  <c r="AB300"/>
  <c r="AA249"/>
  <c r="Z9"/>
  <c r="T328"/>
  <c r="AA255"/>
  <c r="AB104"/>
  <c r="AB57"/>
  <c r="AB58" s="1"/>
  <c r="Q46"/>
  <c r="AB324"/>
  <c r="AB341"/>
  <c r="AB351"/>
  <c r="T26"/>
  <c r="AA112"/>
  <c r="AA118" s="1"/>
  <c r="Z112"/>
  <c r="Z118" s="1"/>
  <c r="Y192"/>
  <c r="Y202" s="1"/>
  <c r="S325"/>
  <c r="U82"/>
  <c r="AA30"/>
  <c r="Z30"/>
  <c r="P40"/>
  <c r="P271" s="1"/>
  <c r="U133"/>
  <c r="U135" s="1"/>
  <c r="S249"/>
  <c r="U248"/>
  <c r="U249" s="1"/>
  <c r="S318"/>
  <c r="U318"/>
  <c r="S355"/>
  <c r="Y318"/>
  <c r="AB107"/>
  <c r="AB344"/>
  <c r="AB289"/>
  <c r="U140"/>
  <c r="U192"/>
  <c r="U202" s="1"/>
  <c r="Z130"/>
  <c r="Z355"/>
  <c r="AB342"/>
  <c r="AA318"/>
  <c r="AB298"/>
  <c r="Z318"/>
  <c r="Y135" l="1"/>
  <c r="AA133"/>
  <c r="AA135" s="1"/>
  <c r="Z133"/>
  <c r="Z135" s="1"/>
  <c r="Q271"/>
  <c r="T271"/>
  <c r="Y109"/>
  <c r="Z101"/>
  <c r="Z109" s="1"/>
  <c r="AA101"/>
  <c r="AA109" s="1"/>
  <c r="AA9"/>
  <c r="AA19" s="1"/>
  <c r="AB129"/>
  <c r="AB130" s="1"/>
  <c r="Z19"/>
  <c r="AB73"/>
  <c r="AB75" s="1"/>
  <c r="U75"/>
  <c r="Q1"/>
  <c r="T1"/>
  <c r="S19"/>
  <c r="AB14"/>
  <c r="AB17"/>
  <c r="U19"/>
  <c r="Y233"/>
  <c r="AA225"/>
  <c r="AA233" s="1"/>
  <c r="Z225"/>
  <c r="AA325"/>
  <c r="AB13"/>
  <c r="Y163"/>
  <c r="Z147"/>
  <c r="AA147"/>
  <c r="AA163" s="1"/>
  <c r="Z85"/>
  <c r="AA85"/>
  <c r="AA91" s="1"/>
  <c r="Y91"/>
  <c r="U109"/>
  <c r="R1"/>
  <c r="AB16"/>
  <c r="AB12"/>
  <c r="U143"/>
  <c r="Y328"/>
  <c r="Z325"/>
  <c r="Z328" s="1"/>
  <c r="AA355"/>
  <c r="AB11"/>
  <c r="Z82"/>
  <c r="AA82"/>
  <c r="AB178"/>
  <c r="U178"/>
  <c r="P1"/>
  <c r="AA33"/>
  <c r="AB15"/>
  <c r="Y143"/>
  <c r="Z139"/>
  <c r="AA139"/>
  <c r="AA143" s="1"/>
  <c r="AA40"/>
  <c r="U33"/>
  <c r="AB255"/>
  <c r="O1"/>
  <c r="AB29"/>
  <c r="Z33"/>
  <c r="AB112"/>
  <c r="AB118" s="1"/>
  <c r="AB30"/>
  <c r="AB318"/>
  <c r="AB355"/>
  <c r="Z249"/>
  <c r="S328"/>
  <c r="S46"/>
  <c r="AB140"/>
  <c r="Z192"/>
  <c r="Z202" s="1"/>
  <c r="AA192"/>
  <c r="AA202" s="1"/>
  <c r="Z26"/>
  <c r="AA26"/>
  <c r="Y26"/>
  <c r="U26"/>
  <c r="U325"/>
  <c r="U328" s="1"/>
  <c r="U40"/>
  <c r="S40"/>
  <c r="AB248"/>
  <c r="AA328"/>
  <c r="AB133" l="1"/>
  <c r="AB135" s="1"/>
  <c r="S271"/>
  <c r="S1" s="1"/>
  <c r="AA271"/>
  <c r="Y271"/>
  <c r="AB101"/>
  <c r="AB109" s="1"/>
  <c r="AB9"/>
  <c r="AB19" s="1"/>
  <c r="AB325"/>
  <c r="AB328" s="1"/>
  <c r="Z233"/>
  <c r="AB225"/>
  <c r="AB233" s="1"/>
  <c r="Z163"/>
  <c r="AB147"/>
  <c r="AB163" s="1"/>
  <c r="Z91"/>
  <c r="AB85"/>
  <c r="AB91" s="1"/>
  <c r="AA1"/>
  <c r="AB82"/>
  <c r="Z143"/>
  <c r="AB139"/>
  <c r="AB143" s="1"/>
  <c r="AB40"/>
  <c r="Z40"/>
  <c r="AB33"/>
  <c r="Y1"/>
  <c r="AB249"/>
  <c r="U46"/>
  <c r="U271" s="1"/>
  <c r="AB46"/>
  <c r="AB26"/>
  <c r="AB192"/>
  <c r="AB202" s="1"/>
  <c r="Z271" l="1"/>
  <c r="AB271"/>
  <c r="U1"/>
  <c r="Z1"/>
  <c r="AB1" l="1"/>
</calcChain>
</file>

<file path=xl/sharedStrings.xml><?xml version="1.0" encoding="utf-8"?>
<sst xmlns="http://schemas.openxmlformats.org/spreadsheetml/2006/main" count="1299" uniqueCount="737">
  <si>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</si>
  <si>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</si>
  <si>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</si>
  <si>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</si>
  <si>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</si>
  <si>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</si>
  <si>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</si>
  <si>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</si>
  <si>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</si>
  <si>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</si>
  <si>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</si>
  <si>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</si>
  <si>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</si>
  <si>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</si>
  <si>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</si>
  <si>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</si>
  <si>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</si>
  <si>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</si>
  <si>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</si>
  <si>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</si>
  <si>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</si>
  <si>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</si>
  <si>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</si>
  <si>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SECRETARIA PARTICULAR</t>
  </si>
  <si>
    <t>SINDICO MUNICIPAL</t>
  </si>
  <si>
    <t>5</t>
  </si>
  <si>
    <t>SECRETARIA GENERAL Y SINDICATURA</t>
  </si>
  <si>
    <t>CONSERJE</t>
  </si>
  <si>
    <t>OFICIAL MAYOR</t>
  </si>
  <si>
    <t>OFICIALIA MAYOR</t>
  </si>
  <si>
    <t>AUXILIAR ADMINISTRATIVO</t>
  </si>
  <si>
    <t>7</t>
  </si>
  <si>
    <t>DEPARTAMENTO JURIDICO</t>
  </si>
  <si>
    <t>HERNANDEZ ENRIQUEZ ROSA GUADALUPE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</si>
  <si>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</si>
  <si>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</si>
  <si>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</si>
  <si>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</si>
  <si>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</si>
  <si>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</si>
  <si>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</si>
  <si>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</si>
  <si>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</si>
  <si>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</si>
  <si>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</si>
  <si>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</si>
  <si>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</si>
  <si>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</si>
  <si>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</si>
  <si>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</si>
  <si>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MELCHOR CASILLAS SANTIAGO</t>
  </si>
  <si>
    <t>HERNANDEZ NARANJO VICTOR MANUEL</t>
  </si>
  <si>
    <t>RECOLECTOR</t>
  </si>
  <si>
    <t>ORTIZ HERNANDEZ FRANCISCO JAVIER</t>
  </si>
  <si>
    <t>GUARDARRASTRO</t>
  </si>
  <si>
    <t>AUX. DE LIMPIEZA</t>
  </si>
  <si>
    <t>DE LA ROSA MACIAS SALVADOR</t>
  </si>
  <si>
    <t>FONTANERO</t>
  </si>
  <si>
    <t>SANTIAGO LOPEZ SABINO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</si>
  <si>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</si>
  <si>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</si>
  <si>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</si>
  <si>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</si>
  <si>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</si>
  <si>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</si>
  <si>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HERNANDEZ PINEDA JUAN JOSE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</si>
  <si>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</si>
  <si>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</si>
  <si>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</si>
  <si>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</si>
  <si>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</si>
  <si>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</si>
  <si>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</si>
  <si>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</si>
  <si>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COORDINADOR DE EGRESOS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</si>
  <si>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</si>
  <si>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</si>
  <si>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</si>
  <si>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</si>
  <si>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</si>
  <si>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</si>
  <si>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</si>
  <si>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</si>
  <si>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 xml:space="preserve">CHOFER   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</si>
  <si>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</si>
  <si>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</si>
  <si>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</si>
  <si>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</si>
  <si>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</si>
  <si>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</si>
  <si>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</si>
  <si>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VELADOR</t>
  </si>
  <si>
    <t>DEPTO. MERCADOS</t>
  </si>
  <si>
    <t>MARTINEZ GONZALEZ JOSE DE JESUS</t>
  </si>
  <si>
    <t>HUERTA AGUILA BERNARDINO</t>
  </si>
  <si>
    <t>DEPTO. DE ASEO PUBLICO</t>
  </si>
  <si>
    <t>GRACIA GOMEZ JAVIER</t>
  </si>
  <si>
    <t>MARTINEZ VEJAR JUAN JOSE</t>
  </si>
  <si>
    <t>8</t>
  </si>
  <si>
    <t>HUERTA CORTES RAMON</t>
  </si>
  <si>
    <t>DEPTO. DE PARQUES Y JARDINES</t>
  </si>
  <si>
    <t>REGALADO BAÑUELOS FRANCISCO</t>
  </si>
  <si>
    <t>BARRENDERO</t>
  </si>
  <si>
    <t>AYALA RODRIGUEZ MIGUEL ANGEL</t>
  </si>
  <si>
    <t>PODADOR</t>
  </si>
  <si>
    <t>9</t>
  </si>
  <si>
    <t>RUIZ MUÑOZ LUIS</t>
  </si>
  <si>
    <t>VIGILANTE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</si>
  <si>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</si>
  <si>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</si>
  <si>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</si>
  <si>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</si>
  <si>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</si>
  <si>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</si>
  <si>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</si>
  <si>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</si>
  <si>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</si>
  <si>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</si>
  <si>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</si>
  <si>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</si>
  <si>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</si>
  <si>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</si>
  <si>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</si>
  <si>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</si>
  <si>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</si>
  <si>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</si>
  <si>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</si>
  <si>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</si>
  <si>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</si>
  <si>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</si>
  <si>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</si>
  <si>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</si>
  <si>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</si>
  <si>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</si>
  <si>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</si>
  <si>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</si>
  <si>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</si>
  <si>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</si>
  <si>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</si>
  <si>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</si>
  <si>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</si>
  <si>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</si>
  <si>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</si>
  <si>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</si>
  <si>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</si>
  <si>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</si>
  <si>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</si>
  <si>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</si>
  <si>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</si>
  <si>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</si>
  <si>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</si>
  <si>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</si>
  <si>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</si>
  <si>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</si>
  <si>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</si>
  <si>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nomina</t>
  </si>
  <si>
    <t>OTROS INGRESOS</t>
  </si>
  <si>
    <t>HERNANDEZ RAMIREZ RUBEN</t>
  </si>
  <si>
    <t>DEPARTAMENTO DE INGRESOS</t>
  </si>
  <si>
    <t>DEPARTAMENTO DE EGRESOS</t>
  </si>
  <si>
    <t>DEPARTAMENTO DE RASTRO</t>
  </si>
  <si>
    <t>DEPARTAMENTO DE CEMENTERIOS</t>
  </si>
  <si>
    <t>DEPARTAMENTO DE MERCADOS</t>
  </si>
  <si>
    <t>DEPARTAMENTO DE PARQUES Y JARDINES</t>
  </si>
  <si>
    <t>DEPARTAMENTO DE ALUMBRADO PUBLICO</t>
  </si>
  <si>
    <t>OTRAS DEDUCCIONES</t>
  </si>
  <si>
    <t>PENSIONADOS</t>
  </si>
  <si>
    <t>PENSIONADO</t>
  </si>
  <si>
    <t>ESPINOZA GONZALEZ ANGELA</t>
  </si>
  <si>
    <t>MENDEZ FRANCO MIGUEL</t>
  </si>
  <si>
    <t>HERNANDEZ RAMIREZ SALVADOR</t>
  </si>
  <si>
    <t>HERNANDEZ SANTIAGO JOSE DE JESUS</t>
  </si>
  <si>
    <t>CERVANTES SANCHEZ GABRIEL</t>
  </si>
  <si>
    <t>HURTADO GRAJEDA PORFIRIO</t>
  </si>
  <si>
    <t>GONZALEZ JARA J. REFUGIO JAVIER</t>
  </si>
  <si>
    <t>AARM690504</t>
  </si>
  <si>
    <t>BECR460228</t>
  </si>
  <si>
    <t>CAGM680912</t>
  </si>
  <si>
    <t>CAPB801105</t>
  </si>
  <si>
    <t>ROMS500801</t>
  </si>
  <si>
    <t>FEAA650918</t>
  </si>
  <si>
    <t>FEGC520708</t>
  </si>
  <si>
    <t>FEHA831218</t>
  </si>
  <si>
    <t>GIRL700926</t>
  </si>
  <si>
    <t>GOCB550313</t>
  </si>
  <si>
    <t>GOHV780710</t>
  </si>
  <si>
    <t>GOJR670808</t>
  </si>
  <si>
    <t>GAGJ731114</t>
  </si>
  <si>
    <t>GURC680410</t>
  </si>
  <si>
    <t>HEAM740507</t>
  </si>
  <si>
    <t>HEEG670312</t>
  </si>
  <si>
    <t>HENV720810</t>
  </si>
  <si>
    <t>HEPJ581212</t>
  </si>
  <si>
    <t>HERR820117</t>
  </si>
  <si>
    <t>HUAB811011</t>
  </si>
  <si>
    <t>HUCR450811</t>
  </si>
  <si>
    <t>LOMY681017</t>
  </si>
  <si>
    <t>MAGJ401015</t>
  </si>
  <si>
    <t>MAPA820618</t>
  </si>
  <si>
    <t>MATM450918</t>
  </si>
  <si>
    <t>MAVF520525</t>
  </si>
  <si>
    <t>MAVJ710822</t>
  </si>
  <si>
    <t>MECS331205</t>
  </si>
  <si>
    <t>OIHF661005</t>
  </si>
  <si>
    <t>PARC480708</t>
  </si>
  <si>
    <t>REBF441211</t>
  </si>
  <si>
    <t>RUHC540519</t>
  </si>
  <si>
    <t>SALS481230</t>
  </si>
  <si>
    <t>UOMM730612</t>
  </si>
  <si>
    <t xml:space="preserve">FONDO DE AHORRO </t>
  </si>
  <si>
    <t>AARM690504HJCYDG04</t>
  </si>
  <si>
    <t>BECR460207HJCRHS07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</si>
  <si>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</si>
  <si>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</si>
  <si>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</si>
  <si>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</si>
  <si>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</si>
  <si>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</si>
  <si>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</si>
  <si>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</si>
  <si>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</si>
  <si>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</si>
  <si>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</si>
  <si>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</si>
  <si>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</si>
  <si>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</si>
  <si>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HENV700810HJCRRC03</t>
  </si>
  <si>
    <t>HEPJ571212HJCRNN00</t>
  </si>
  <si>
    <t>HUAB810114HJCRGR01</t>
  </si>
  <si>
    <t>HUCR450831HJCRRM08</t>
  </si>
  <si>
    <t>LOMY681017MJCPRV08</t>
  </si>
  <si>
    <t>MAPA820618MJCRRN00</t>
  </si>
  <si>
    <t>MATM451028HJCRRG08</t>
  </si>
  <si>
    <t>MAVF520525HJCRLR02</t>
  </si>
  <si>
    <t>MAVJ710822HJCRJN04</t>
  </si>
  <si>
    <t>MECS331205HJCLSN08</t>
  </si>
  <si>
    <t>OIHF661005HJCRRR01</t>
  </si>
  <si>
    <t>PARRA RON CARLOS ENRIQUE</t>
  </si>
  <si>
    <t>PARC480708HJCRNR08</t>
  </si>
  <si>
    <t>REBF441211HJCGXR05</t>
  </si>
  <si>
    <t>ROMS500801HJCSCL00</t>
  </si>
  <si>
    <t>RUHC540519HJCZRL03</t>
  </si>
  <si>
    <t>SALS481230HJCNPB00</t>
  </si>
  <si>
    <t>SILVA PINTO J ASUNCIÓN</t>
  </si>
  <si>
    <t>SIPA400815HJCLNS02</t>
  </si>
  <si>
    <t>UOMM730612MJCLRR02</t>
  </si>
  <si>
    <t>PEREZ JAIME ARTURO</t>
  </si>
  <si>
    <t>PEJA600718</t>
  </si>
  <si>
    <t>GONZALEZ MARTINEZ ERIKA DELFINA</t>
  </si>
  <si>
    <t>VELEZ FREGOSO LUIS MANUEL</t>
  </si>
  <si>
    <t>GODINA ENRIQUEZ SILVIA</t>
  </si>
  <si>
    <t>SUB-DIRECTOR DESARROLLO URBANO</t>
  </si>
  <si>
    <t>DIRECTOR JURIDICO</t>
  </si>
  <si>
    <t>GAHJ</t>
  </si>
  <si>
    <t>DIRECTOR DE PROTECCION CIVIL</t>
  </si>
  <si>
    <t>ACOSTA GUTIERREZ JUAN ANTONIO</t>
  </si>
  <si>
    <t>DIRECTOR DE CULTURA Y TURISMO</t>
  </si>
  <si>
    <t>MARTINEZ MARTINEZ SALVADOR TAURINO JONATHAN</t>
  </si>
  <si>
    <t>CISNEROS VAZQUEZ RAMIRO</t>
  </si>
  <si>
    <t>CIVR540430</t>
  </si>
  <si>
    <t>CHOFER PROTECCION CIVIL</t>
  </si>
  <si>
    <t>RENTERIA MENDEZ FRANCISCO</t>
  </si>
  <si>
    <t>AUXILIAR DE DIRECCIÓN</t>
  </si>
  <si>
    <t>MENDEZ GARCIA MIGUEL ANGEL</t>
  </si>
  <si>
    <t>AOGJ700101</t>
  </si>
  <si>
    <t>DIRF401210HJCZML05</t>
  </si>
  <si>
    <t>DIAZ PEREZ SAMUEL</t>
  </si>
  <si>
    <t>REYES HERNANDEZ MOISES</t>
  </si>
  <si>
    <t>AARG</t>
  </si>
  <si>
    <t>CARRILLO MURILLO SALVADOR</t>
  </si>
  <si>
    <t>AUXILIAR CONTABLE</t>
  </si>
  <si>
    <t>CONTRALOR</t>
  </si>
  <si>
    <t>TARJETA</t>
  </si>
  <si>
    <t>FREGOSO PARRA MARTHA</t>
  </si>
  <si>
    <t>VETERINARIO</t>
  </si>
  <si>
    <t>VENTURA PEREZ HERLINDA AURORA</t>
  </si>
  <si>
    <t>ESTRADA GOMEZ JUAN CARLOS</t>
  </si>
  <si>
    <t>SUB-DIRECTOR DE CATASTRO</t>
  </si>
  <si>
    <t>NOLASCO VALLE ARTURO</t>
  </si>
  <si>
    <t>NOVA</t>
  </si>
  <si>
    <t xml:space="preserve">AUX. DE LIMPIEZA GRAL. </t>
  </si>
  <si>
    <t>SUAREZ GUEVARA ALEJANDRO</t>
  </si>
  <si>
    <t>FRANCO ARVIZU FERNANDO</t>
  </si>
  <si>
    <t>RUGE</t>
  </si>
  <si>
    <t>HERNANDEZ ARIAS SEBASTIAN</t>
  </si>
  <si>
    <t>HEAS</t>
  </si>
  <si>
    <t>REGALADO AQUINO JUAN</t>
  </si>
  <si>
    <t>GASR</t>
  </si>
  <si>
    <t>DEPARTAMENTO DE PRENSA Y PUBLICIDAD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</si>
  <si>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</si>
  <si>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</si>
  <si>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</si>
  <si>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</si>
  <si>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</si>
  <si>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</si>
  <si>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</si>
  <si>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</si>
  <si>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</si>
  <si>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</si>
  <si>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</si>
  <si>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</si>
  <si>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</si>
  <si>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</si>
  <si>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</si>
  <si>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</si>
  <si>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</si>
  <si>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</si>
  <si>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</si>
  <si>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ROJAS GARCIA FELIPE</t>
  </si>
  <si>
    <t>SANCHEZ SANCHEZ RAYMUNDO</t>
  </si>
  <si>
    <t>AGENTE MUNICIPAL SAN SEBASTIAN</t>
  </si>
  <si>
    <t>DIRECCION DE SEGURIDAD PUBLICA</t>
  </si>
  <si>
    <t>FLORES IÑIGUEZ JUAN RAYMUNDO</t>
  </si>
  <si>
    <t>TIZNADO CHAVEZ LUIS RAMON</t>
  </si>
  <si>
    <t>MANCILLAS MORA MARTIN</t>
  </si>
  <si>
    <t>SUPERVISOR</t>
  </si>
  <si>
    <t>ARVIZU GIL HOMERO JOSE</t>
  </si>
  <si>
    <t>CAJERA</t>
  </si>
  <si>
    <t>OCHOA FLORES RAMON</t>
  </si>
  <si>
    <t>MOJARRO BERUMEN ENRIQUE</t>
  </si>
  <si>
    <t>FERREL ALCANTAR EDMUNDO</t>
  </si>
  <si>
    <t>NAVARRO GUTIERREZ MOISES EDMUNDO</t>
  </si>
  <si>
    <t>GALLEGOS RIVAS ADRIAN</t>
  </si>
  <si>
    <t>ORENDAIN BERNAL ROBERTO</t>
  </si>
  <si>
    <t>RAMIREZ GARCIA J. JESUS</t>
  </si>
  <si>
    <t>EMPEDRADOR</t>
  </si>
  <si>
    <t>AYUDANTE</t>
  </si>
  <si>
    <t>MARTINEZ TORRES JUSTINO</t>
  </si>
  <si>
    <t>AUXILIAR DE MENTENIMIENTO</t>
  </si>
  <si>
    <t>TELLEZ GOMEZ VICENTE</t>
  </si>
  <si>
    <t>JARDINERO</t>
  </si>
  <si>
    <t>MILLAN GARCIA J. JESUS</t>
  </si>
  <si>
    <t>BERNAL PRECIADO JUAN JOSE</t>
  </si>
  <si>
    <t>MARTINEZ CRUZ JUAN</t>
  </si>
  <si>
    <t>ACOSTA MURILLO JOAQUIN</t>
  </si>
  <si>
    <t>ROJAS HUERTA CARLOS ALFREDO</t>
  </si>
  <si>
    <t>ENCARGADO UNIDAD DEPORTIVA</t>
  </si>
  <si>
    <t>AGUA POTABLE Y ALCANTRILLADO</t>
  </si>
  <si>
    <t>NAVARRO RODRIGUEZ BERTHA ALICIA</t>
  </si>
  <si>
    <t>GARCIA MEDINA JOSE DE JESUS</t>
  </si>
  <si>
    <t>ELECTRICISTA</t>
  </si>
  <si>
    <t>GARCIA MEDINA RAMON</t>
  </si>
  <si>
    <t>ENCARGADO GENERAL DE BOMBAS</t>
  </si>
  <si>
    <t>GARCIA MEDINA FRANCISCO JAVIER</t>
  </si>
  <si>
    <t>GARCIA MENDEZ HECTOR MIGUEL</t>
  </si>
  <si>
    <t>MENDEZ GARCIA JOSE GUADALUPE</t>
  </si>
  <si>
    <t>GARCIA MEZA LUIS ALBERTO</t>
  </si>
  <si>
    <t>AUXILIAR DE FONTANERO OCONAHUA</t>
  </si>
  <si>
    <t>VILLA RUBIO GABRIEL</t>
  </si>
  <si>
    <t>ENCARGADO  DE BOMBA AGUA ZARCA</t>
  </si>
  <si>
    <t>ENCARGADO  DE BOMBA EN OCONAHUA</t>
  </si>
  <si>
    <t>ENCARGADO  DE BOMBA EN SANTA ROSALIA</t>
  </si>
  <si>
    <t>BAILON SIERRA ENRIQUE</t>
  </si>
  <si>
    <t>ENCARGADO GENERAL DE ALCANTARILLADO</t>
  </si>
  <si>
    <t>AUXILIAR DE ALCANTARILLADO EN ETZATLAN</t>
  </si>
  <si>
    <t>CARRILLO MUÑOZ SERGIO</t>
  </si>
  <si>
    <t>LEMUS SANCHEZ J. VENTURA</t>
  </si>
  <si>
    <t>AUXILIAR DE ALCANTARILLADO EN OCONAHUA</t>
  </si>
  <si>
    <t>GONZALEZ ESPINOZA JAIME</t>
  </si>
  <si>
    <t>ENCARGADO DE PLANTA TRATADORA DE AGUAS NEGRAS</t>
  </si>
  <si>
    <t>MEZA RAMOS EUSEBIO</t>
  </si>
  <si>
    <t>AUXILIAR OPERATIVO</t>
  </si>
  <si>
    <t>RUIZ CASTRO PEDRO</t>
  </si>
  <si>
    <t>GARCIA GARCIA SALVADOR</t>
  </si>
  <si>
    <t>FLORES HARRIS JESUS</t>
  </si>
  <si>
    <t>AUXILIAR OPERATIVO PLANTA TRATADORA</t>
  </si>
  <si>
    <t>DIRECCION GENERAL  DE OBRAS PUBLICAS</t>
  </si>
  <si>
    <t>MORAN MARROQUIN GRICELDA ELIZABETH</t>
  </si>
  <si>
    <t>ADMINISTRACION 2012-2015</t>
  </si>
  <si>
    <t>COMANDANTE</t>
  </si>
  <si>
    <t>GARCIA FIGUEROA NORBERTO</t>
  </si>
  <si>
    <t>ARIAS RAMOS MARIA DEL SOCORRO</t>
  </si>
  <si>
    <t>VILLANE VALLARTA EFREN OSWALDO</t>
  </si>
  <si>
    <t>PLASCENCIA GARCIA MIREYA ESMERALDA</t>
  </si>
  <si>
    <t>SIERRA LLAMAS JUAN JOSE</t>
  </si>
  <si>
    <t>LOPEZ REYES LINO</t>
  </si>
  <si>
    <t xml:space="preserve">MELCHOR MARTINEZ RAFAEL </t>
  </si>
  <si>
    <t>LOPEZ MARTINEZ LEOPOLDO</t>
  </si>
  <si>
    <t>PLASCENCIA GARCIA OSCARI</t>
  </si>
  <si>
    <t xml:space="preserve">AUXILIAR JURIDICO </t>
  </si>
  <si>
    <t>ASEO LA MAZATA</t>
  </si>
  <si>
    <t>DIRECCION DE EDUCACION</t>
  </si>
  <si>
    <t>ARCINIEGA RODRIGUEZ ANTONIO</t>
  </si>
  <si>
    <t>ARQUIETA VADILLO ARTURO</t>
  </si>
  <si>
    <t>SECRETARIA SALA  DE REGIDORES</t>
  </si>
  <si>
    <t>BUHM840914</t>
  </si>
  <si>
    <t>GOTG850723</t>
  </si>
  <si>
    <t>LEPC870628</t>
  </si>
  <si>
    <t>BASE740304</t>
  </si>
  <si>
    <t>BASE740304HJCLRN02</t>
  </si>
  <si>
    <t>DEDA550605</t>
  </si>
  <si>
    <t>DEDA550605HNTLLN09</t>
  </si>
  <si>
    <t>DELGADO DELGADO JOSE ANTONIO</t>
  </si>
  <si>
    <t>GAGS520228</t>
  </si>
  <si>
    <t>GAGS361031HJCRRB04</t>
  </si>
  <si>
    <t>GAMJ641203</t>
  </si>
  <si>
    <t>GAMJ521114</t>
  </si>
  <si>
    <t>GAMJ521114HJCRDS00</t>
  </si>
  <si>
    <t>GAMR560716</t>
  </si>
  <si>
    <t>GAMR560716HJCRDM02</t>
  </si>
  <si>
    <t>GAMH851007</t>
  </si>
  <si>
    <t>GAMH851007HJCRNC04</t>
  </si>
  <si>
    <t>GOEJ550102</t>
  </si>
  <si>
    <t>GOEJ550102HJCNSM14</t>
  </si>
  <si>
    <t>MEGG780207</t>
  </si>
  <si>
    <t>MEGG780207HJCNRD06</t>
  </si>
  <si>
    <t>MERE520708</t>
  </si>
  <si>
    <t>MERE491216HJCZMS01</t>
  </si>
  <si>
    <t>RUCP730628</t>
  </si>
  <si>
    <t>RUCP730629HJCZSD07</t>
  </si>
  <si>
    <t>VIRG590520</t>
  </si>
  <si>
    <t>VIRG590520HJCLBB05</t>
  </si>
  <si>
    <t>AIRS650514</t>
  </si>
  <si>
    <t>AIRS650514MJCRMC06</t>
  </si>
  <si>
    <t>NARB840203</t>
  </si>
  <si>
    <t>NARB840203MJCVDR03</t>
  </si>
  <si>
    <t>FOHJ730517</t>
  </si>
  <si>
    <t>FOHJ730517HJCLRS08</t>
  </si>
  <si>
    <t>FEIA870704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</si>
  <si>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</si>
  <si>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</si>
  <si>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</si>
  <si>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</si>
  <si>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</si>
  <si>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</si>
  <si>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</si>
  <si>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</si>
  <si>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</si>
  <si>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</si>
  <si>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</si>
  <si>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CAPV791223</t>
  </si>
  <si>
    <t>VAML800130</t>
  </si>
  <si>
    <t>AIGH730225LE1</t>
  </si>
  <si>
    <t>AIGH730225HJCRLM08</t>
  </si>
  <si>
    <t>CAPU791223HJCMTC05</t>
  </si>
  <si>
    <t>ROMP450629DNA</t>
  </si>
  <si>
    <t>ROMP450629HJCSCB04</t>
  </si>
  <si>
    <t>PEXJ600718HJCRXM09</t>
  </si>
  <si>
    <t>RUML530529GL7</t>
  </si>
  <si>
    <t>RUML530529HJCZXS03</t>
  </si>
  <si>
    <t>VAML800130HJCRRS04</t>
  </si>
  <si>
    <t>HERNANDEZ ENRIQUEZ J. FILEMON</t>
  </si>
  <si>
    <t>PAGM780607</t>
  </si>
  <si>
    <t>PAGM780607MJCLRR03</t>
  </si>
  <si>
    <t>MAMS900118M80</t>
  </si>
  <si>
    <t>MAMS900118HJCRRL02</t>
  </si>
  <si>
    <t>FEIA870704MJCRXN02</t>
  </si>
  <si>
    <t>SILJ660418HJCRLN17</t>
  </si>
  <si>
    <t>MAGG</t>
  </si>
  <si>
    <t>LEGJ</t>
  </si>
  <si>
    <t>DIME</t>
  </si>
  <si>
    <t>GOME840310</t>
  </si>
  <si>
    <t>GOME840310MJCNRR06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</si>
  <si>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</si>
  <si>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</si>
  <si>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</si>
  <si>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</si>
  <si>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</si>
  <si>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</si>
  <si>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</si>
  <si>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</si>
  <si>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MATJ</t>
  </si>
  <si>
    <t>GOJR670808HJCNRF13</t>
  </si>
  <si>
    <t>MAGJ401015HJCRNC00</t>
  </si>
  <si>
    <t>MEGM851109</t>
  </si>
  <si>
    <t>MEGM851109HJCNRG03</t>
  </si>
  <si>
    <t>CIVR540430HJCSZM04</t>
  </si>
  <si>
    <t>GOES781103IAA</t>
  </si>
  <si>
    <t>GOES781103MJCDNL05</t>
  </si>
  <si>
    <t>TICL781119J37</t>
  </si>
  <si>
    <t>TICL781119HJCZHS05</t>
  </si>
  <si>
    <t>CESG4509243P3</t>
  </si>
  <si>
    <t>CESG450924HMNRNB03</t>
  </si>
  <si>
    <t>BAGV780611</t>
  </si>
  <si>
    <t>BAGV780611MJCRTR04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</si>
  <si>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</si>
  <si>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</si>
  <si>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</si>
  <si>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</si>
  <si>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</si>
  <si>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</si>
  <si>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</si>
  <si>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</si>
  <si>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</si>
  <si>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</si>
  <si>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</si>
  <si>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</si>
  <si>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</si>
  <si>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SIPA400815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</si>
  <si>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</si>
  <si>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</si>
  <si>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</si>
  <si>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</si>
  <si>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</si>
  <si>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</si>
  <si>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</si>
  <si>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</si>
  <si>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</si>
  <si>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SUGA700224UD9</t>
  </si>
  <si>
    <t>SUGA700224HJCRVL07</t>
  </si>
  <si>
    <t>LEME710921LM9</t>
  </si>
  <si>
    <t>LEME710921MNTDLM01</t>
  </si>
  <si>
    <t>EIGA240505KM2</t>
  </si>
  <si>
    <t>EIGA240505MJCSNN09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</si>
  <si>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</si>
  <si>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</si>
  <si>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</si>
  <si>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</si>
  <si>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</si>
  <si>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</si>
  <si>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</si>
  <si>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</si>
  <si>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</si>
  <si>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</si>
  <si>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ROGF340501T63</t>
  </si>
  <si>
    <t>ROGF340501HJCJRL01</t>
  </si>
  <si>
    <t>SASR4910255R8</t>
  </si>
  <si>
    <t>SASR491025HJCNNY01</t>
  </si>
  <si>
    <t>DIRECTOR DE PRENSA Y PUBLICIDAD</t>
  </si>
  <si>
    <t>DEPARTAMENTO DE  INFORMATICA</t>
  </si>
  <si>
    <t>AUXILIAR DEL DEPARTAMENTO DE NFORMATICA</t>
  </si>
  <si>
    <t>IAOR</t>
  </si>
  <si>
    <t>ENCARGADO DE MANTENIMIENTO A VEHICULOS</t>
  </si>
  <si>
    <t>PINTOR GENERAL</t>
  </si>
  <si>
    <t>ADMINISTRADOR DE CEMENTERIOS</t>
  </si>
  <si>
    <t>VELADOR DEPTO DE MERCADOS</t>
  </si>
  <si>
    <t>RECOLECTOR ASEO PUBLICO</t>
  </si>
  <si>
    <t>CHOFER ASEO PUBLICO</t>
  </si>
  <si>
    <t>AUXILIARDE ALUMBRADO PUBLICO</t>
  </si>
  <si>
    <t>AUXILIAR DE MANTENIMIENTO DEL DEPTO. DE DEPORTES</t>
  </si>
  <si>
    <t>CONSERJE DOMO POLIDEPORTIVO</t>
  </si>
  <si>
    <t>SECRETARIADEL DEPTO DE INSPECCION AGRICOLA Y GANADERA</t>
  </si>
  <si>
    <t>ENCARGADO DE DESARROLLO RURAL</t>
  </si>
  <si>
    <t>AUXILIAR ADMINISTRATIVO DE DESARROLLO RURAL</t>
  </si>
  <si>
    <t>DIRECTOR DE SEGURIDAD PUBLICA MUNICIPAL</t>
  </si>
  <si>
    <t>HERNANDEZ RICO JUAN JOSE</t>
  </si>
  <si>
    <t xml:space="preserve">GARCIA FIGUEROA GUSTAVO </t>
  </si>
  <si>
    <t>RENTERIA LOPEZ JUAN CARLOS</t>
  </si>
  <si>
    <t>LOPEZ VILLEGAS J. JESUS</t>
  </si>
  <si>
    <t>ENCARGADO DE  EQUIPO DE SONIDO</t>
  </si>
  <si>
    <t>DOMINGUEZ HECTOR FREDDI</t>
  </si>
  <si>
    <t>HERNANDEZ ULLOA FRANCISCO JAVIER</t>
  </si>
  <si>
    <t>GONZALEZ AZPEITIA ALVARO</t>
  </si>
  <si>
    <t>ESQUIVEL CLARO EULALIA</t>
  </si>
  <si>
    <t>GUIZAR CARRILLO FRANCISCO JAVIER</t>
  </si>
  <si>
    <t xml:space="preserve">REYNAGA LOPEZ NAHSDHELLY ALEJANDRA </t>
  </si>
  <si>
    <t>SECRETARIO GENERAL</t>
  </si>
  <si>
    <t>DOMINGUEZ PEREZ NOE</t>
  </si>
  <si>
    <t>FIGUEROA SANTIAGO JAVIER ANTONIO</t>
  </si>
  <si>
    <t>ROSAS MACIEL JUAN ALVARO</t>
  </si>
  <si>
    <t>OCHOA FLORES MARIA DE JESUS</t>
  </si>
  <si>
    <t>AUXILIAR DE DIRECCION DE CULTURA Y TURISMO</t>
  </si>
  <si>
    <t>SANCHEZ GARCIA VICTOR MANUEL</t>
  </si>
  <si>
    <t>GARCIA FRANCISCO</t>
  </si>
  <si>
    <t>H. AYUNTAMIENTO DE ETZATLAN, JALISCO</t>
  </si>
  <si>
    <t>En adelante</t>
  </si>
  <si>
    <t>GOMEZ MEZA ARMANDO</t>
  </si>
  <si>
    <t>ROJAS PARRA GUILLERMO ALEJANDRO</t>
  </si>
  <si>
    <t>TRINIDAD RAMIREZ JOSE ROMAN</t>
  </si>
  <si>
    <t>CORONA TIZNADO OSIRIS ELVIA</t>
  </si>
  <si>
    <t>GAYTAN PEREZ LUIS GABRIEL</t>
  </si>
  <si>
    <t>GONZALEZ CAMPOS JOSE MANUEL</t>
  </si>
  <si>
    <t>INFANTE GUTIERREZ CRISTINA</t>
  </si>
  <si>
    <t>CASTELLANOS RODRIGUEZ SUSANA LIZETH</t>
  </si>
  <si>
    <t>CAMPERO MARTINEZ JUAN DANIEL</t>
  </si>
  <si>
    <t>GOMEZ TOVAR JUAN FRANCISCO</t>
  </si>
  <si>
    <t>LOPEZ SILVA CARLOS DAMIAN</t>
  </si>
  <si>
    <t>GARCIA MAGALLANES FRANCISCO</t>
  </si>
  <si>
    <t>ARAGON CORTES JOSE ALBERTO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</si>
  <si>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</si>
  <si>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</si>
  <si>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</si>
  <si>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</si>
  <si>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</si>
  <si>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</si>
  <si>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</si>
  <si>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</si>
  <si>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</si>
  <si>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</si>
  <si>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</si>
  <si>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</si>
  <si>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</si>
  <si>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MEDINA FLORES EVERARDO</t>
  </si>
  <si>
    <t>LEDESMA MORAN JOSE FEDERICO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</si>
  <si>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</si>
  <si>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</si>
  <si>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</si>
  <si>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</si>
  <si>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</si>
  <si>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</si>
  <si>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</si>
  <si>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</si>
  <si>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HERNANDEZ SANCHEZ ROSA ELIZABETH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</si>
  <si>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</si>
  <si>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</si>
  <si>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</si>
  <si>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</si>
  <si>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</si>
  <si>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</si>
  <si>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GONZALEZ PEÑA LETICIA</t>
  </si>
  <si>
    <t>ASISTENTE DE REGISTRO CIVIL</t>
  </si>
  <si>
    <t>NAVARRO HERNANDEZ ALMA SAGRARIO</t>
  </si>
  <si>
    <t>INSPECTOR TESORERIA</t>
  </si>
  <si>
    <t>GONZALEZ ARQUIETA CESAR ARMANDO</t>
  </si>
  <si>
    <t>ILLAN ARIAS CESAR</t>
  </si>
  <si>
    <t>DIRECTOR DE IDE NFORMATICA Y SISTEMAS</t>
  </si>
  <si>
    <t>VELAZCO SIORDIA ANA KAREN</t>
  </si>
  <si>
    <t>SECRETARIADE DESARROLLO RURAL</t>
  </si>
  <si>
    <t>RODRIGUEZ CASTELLANOS ANGELICA IVETTE</t>
  </si>
  <si>
    <t>ASISITENTEDE CONTRALORIA</t>
  </si>
  <si>
    <t>SANCHEZ NAVARRO ARTURO</t>
  </si>
  <si>
    <t>RODRIGUEZ ARQUIETA DANIEL ORLANDO</t>
  </si>
  <si>
    <t>JARDINERO EN LA UNIDAD DEPORTIVA</t>
  </si>
  <si>
    <t>GONZALEZ FLORES RAMON</t>
  </si>
  <si>
    <t>AUXILIAR DE MANTENIMIENTO DE LA UNIDAD DEPORTIVA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</si>
  <si>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</si>
  <si>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</si>
  <si>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</si>
  <si>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</si>
  <si>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</si>
  <si>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</si>
  <si>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</si>
  <si>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</si>
  <si>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</si>
  <si>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</si>
  <si>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</si>
  <si>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</si>
  <si>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</si>
  <si>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MURILLO SUAREZ HECTOR</t>
  </si>
  <si>
    <t>AYUDANTE DE CEMENTERIOS</t>
  </si>
  <si>
    <t>FAJARDO LOPEZ JORGE ANTONIO</t>
  </si>
  <si>
    <t>HERNANDEZ BAILON JUAN ALFREDO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</si>
  <si>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</si>
  <si>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</si>
  <si>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</si>
  <si>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</si>
  <si>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</si>
  <si>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</si>
  <si>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AUX ILIAR DE LIMPIEZA PLAZA DE TOROS</t>
  </si>
  <si>
    <t>CAPTURISTA EN TESORERIA</t>
  </si>
  <si>
    <t>BARAJAS DE LA TORRE ANA MARIA</t>
  </si>
  <si>
    <t>ATENCIO CIUDADANA</t>
  </si>
  <si>
    <t>MADRID ZAINES DELIA CAROLINA</t>
  </si>
  <si>
    <t>ESPERICUETA HERNANDEZ EFRAIN</t>
  </si>
  <si>
    <t>TALLERES DE CAPACITACION</t>
  </si>
  <si>
    <t>ORTEGA CRUZ ERIKA NARSEDALIA</t>
  </si>
  <si>
    <t>SECRETARIA EN CATASTRO</t>
  </si>
  <si>
    <t>MONTERO REYES HECTOR CARLOS</t>
  </si>
  <si>
    <t>AUXILIAR DE TRANSPARENCIA</t>
  </si>
  <si>
    <t>DIRECTOR DE TRANSPARENCIA</t>
  </si>
  <si>
    <t>JUAREZ FLORES HUGO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</si>
  <si>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</si>
  <si>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</si>
  <si>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</si>
  <si>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</si>
  <si>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</si>
  <si>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</si>
  <si>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</si>
  <si>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SECRETARIA DE COMUNICACIÓN SOCIAL</t>
  </si>
  <si>
    <t>GOMEZ SANTIAGO MARIA DOLORES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</si>
  <si>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</si>
  <si>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</si>
  <si>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</si>
  <si>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</si>
  <si>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</si>
  <si>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</si>
  <si>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INTENDENTE</t>
  </si>
  <si>
    <t>LAURO</t>
  </si>
  <si>
    <t>HERNANDEZ ALCARAZ ALVARO</t>
  </si>
  <si>
    <t>BERNAL ESTRADA EDGAR FERNANDO</t>
  </si>
  <si>
    <t>AUXILIAR DE DESARROLLO URBANO</t>
  </si>
  <si>
    <t>TORRES MORAN CARLOS</t>
  </si>
  <si>
    <t>HERNANDEZ PALACIOS REFUGIO GUADALUPE</t>
  </si>
  <si>
    <t>RIVERA MORENO JORGE ALBERTO</t>
  </si>
  <si>
    <t>ORNELAS RODRIGUEZ MAYRA SOL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</si>
  <si>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</si>
  <si>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</si>
  <si>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</si>
  <si>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</si>
  <si>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</si>
  <si>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</si>
  <si>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</si>
  <si>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</si>
  <si>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</si>
  <si>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VAZQUEZ PEREZ LUIS ENRIQUE</t>
  </si>
  <si>
    <t>AUXILIAR DE COMUNICACIÓN SOCIAL (FOTOGRAFO Y VIDEO)</t>
  </si>
  <si>
    <t>PONCE FRANCO JOSE SALVADOR</t>
  </si>
  <si>
    <t xml:space="preserve">CHOFER </t>
  </si>
  <si>
    <t>RICO ARCE VICTOR</t>
  </si>
  <si>
    <t>JUAREZ JIMENEZ ALFREDO</t>
  </si>
  <si>
    <t>CARRILLO DIAZ ANTONIO SALVADOR</t>
  </si>
  <si>
    <t>GONZALEZ JUAREZ ALEJANDRA AMANDA</t>
  </si>
  <si>
    <t>SECRETARIA DE CASA DE LA CULTURA</t>
  </si>
  <si>
    <t>GALLEGOS PEREZ DIEGO ARMANDO</t>
  </si>
  <si>
    <t>ENCARGADO DE LA CULTURA DEL AGUA</t>
  </si>
  <si>
    <t>ENCARGADO DEL AGUA POTABLE</t>
  </si>
  <si>
    <t>ESPARZA ZAVALZA INDALECIO</t>
  </si>
  <si>
    <t>MAESTRO DE MUSICA</t>
  </si>
  <si>
    <t>NAVARRO AYON RAUL JAIME</t>
  </si>
  <si>
    <t>AGENTE MUNICIPAL DE LA MAZATA</t>
  </si>
  <si>
    <t>GONZALEZ MARTINEZ KARINA</t>
  </si>
  <si>
    <t>SECRETARIA EN REGISTRO CIVIL</t>
  </si>
  <si>
    <t>ACEVEDO OCHOA J. GUADALUPE</t>
  </si>
  <si>
    <t>GARCIA MARTINEZ FRANCISCO RIGOBERTO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</si>
  <si>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</si>
  <si>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</si>
  <si>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</si>
  <si>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</si>
  <si>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</si>
  <si>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</si>
  <si>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</si>
  <si>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</si>
  <si>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DELGADO PACHECO RICARDO</t>
  </si>
  <si>
    <t>MORA SANCHEZ EUSTACIO</t>
  </si>
  <si>
    <t>DELEGADO MUNICIPAL DE  OCONAHUA</t>
  </si>
  <si>
    <t>AOGJ700101HJCCTN06</t>
  </si>
  <si>
    <t>CHAVEZ VAZQUEZ JUAN PABLO</t>
  </si>
  <si>
    <t>VARJ</t>
  </si>
  <si>
    <t>CASA DE LA CULTURA</t>
  </si>
  <si>
    <t>HERR820117HCSRMB01</t>
  </si>
  <si>
    <t>HUGP501018195</t>
  </si>
  <si>
    <t>HUGP501018HJCRRR00</t>
  </si>
  <si>
    <t>VELADOR EN CASA DE SALUD EN SANTA ROSALIA</t>
  </si>
  <si>
    <t xml:space="preserve">PRESIDENTE MUNICIPAL </t>
  </si>
  <si>
    <t>DE LATORRE GARCIA MIGUEL RAFAEL</t>
  </si>
  <si>
    <t>SECRETARIA DEL REGISTRO CIVIL</t>
  </si>
  <si>
    <t>COVARRUBIAS VALENCIA JOSE</t>
  </si>
  <si>
    <t>GARCIA GONZALEZ JAIRO ESAUD</t>
  </si>
  <si>
    <t>GODOY TAMAYO JULIAN</t>
  </si>
  <si>
    <t>BRAMBILA MELCHOR ADRIAN</t>
  </si>
  <si>
    <t>ENCARGADO DE OBRAS ´PUBLICAS EN OCONAHUA</t>
  </si>
  <si>
    <t>ILLAN LARA SAYDA</t>
  </si>
  <si>
    <t>NUTRIOLOGA EN EL DOMO POLIDEPORTIVO</t>
  </si>
  <si>
    <t>NOMINA CORRESPONDIENTE A LA PRIMERA QUINCENA DE NOVIEMBRE DE 2015</t>
  </si>
  <si>
    <t>Etzatlán, Jalisco a 15 de Noviembre de 2015.</t>
  </si>
  <si>
    <t>GAVILANES NAVARRO JOSE RICARDO</t>
  </si>
  <si>
    <t>CHIOFER CAMION ESTUDIANTES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</si>
</sst>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(* #,##0\ &quot;pta&quot;_);_(* \(#,##0\ &quot;pta&quot;\);_(* &quot;-&quot;??\ &quot;pta&quot;_);_(@_)"/>
    <numFmt numFmtId="166" formatCode="_-[$€-2]* #,##0.00_-;\-[$€-2]* #,##0.00_-;_-[$€-2]* &quot;-&quot;??_-"/>
    <numFmt numFmtId="167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62"/>
      <name val="Arial Rounded MT Bold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1"/>
      <name val="Calibri"/>
      <family val="2"/>
      <scheme val="minor"/>
    </font>
    <font>
      <sz val="9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166" fontId="1" fillId="0" borderId="0" applyFont="0" applyFill="0" applyBorder="0" applyAlignment="0" applyProtection="0"/>
    <xf numFmtId="0" fontId="26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" fillId="0" borderId="0"/>
    <xf numFmtId="0" fontId="38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165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Fill="1" applyProtection="1">
      <protection hidden="1"/>
    </xf>
    <xf numFmtId="14" fontId="15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43" fontId="11" fillId="0" borderId="0" xfId="33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5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9" fillId="25" borderId="19" xfId="0" applyFont="1" applyFill="1" applyBorder="1" applyAlignment="1" applyProtection="1">
      <alignment horizontal="center" vertical="center" wrapText="1"/>
      <protection hidden="1"/>
    </xf>
    <xf numFmtId="0" fontId="16" fillId="25" borderId="19" xfId="0" applyFont="1" applyFill="1" applyBorder="1" applyAlignment="1" applyProtection="1">
      <alignment horizontal="center" vertical="center" wrapText="1"/>
      <protection hidden="1"/>
    </xf>
    <xf numFmtId="0" fontId="36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5" fillId="0" borderId="19" xfId="0" applyFont="1" applyFill="1" applyBorder="1" applyProtection="1">
      <protection hidden="1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35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5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5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Protection="1"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0" fontId="11" fillId="0" borderId="19" xfId="0" applyNumberFormat="1" applyFont="1" applyFill="1" applyBorder="1" applyAlignment="1" applyProtection="1">
      <alignment horizontal="center"/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5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40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5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5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5" fillId="0" borderId="0" xfId="0" applyFont="1" applyAlignment="1">
      <alignment horizontal="right" vertical="top" wrapText="1"/>
    </xf>
    <xf numFmtId="4" fontId="45" fillId="0" borderId="0" xfId="0" applyNumberFormat="1" applyFont="1" applyAlignment="1">
      <alignment horizontal="right" vertical="top" wrapText="1"/>
    </xf>
    <xf numFmtId="4" fontId="45" fillId="0" borderId="25" xfId="0" applyNumberFormat="1" applyFont="1" applyBorder="1" applyAlignment="1">
      <alignment horizontal="right" vertical="top" wrapText="1"/>
    </xf>
    <xf numFmtId="0" fontId="45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5" fillId="0" borderId="10" xfId="0" applyFont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10" fontId="45" fillId="0" borderId="11" xfId="0" applyNumberFormat="1" applyFont="1" applyBorder="1" applyAlignment="1">
      <alignment horizontal="right" vertical="top" wrapText="1"/>
    </xf>
    <xf numFmtId="9" fontId="45" fillId="0" borderId="11" xfId="0" applyNumberFormat="1" applyFont="1" applyBorder="1" applyAlignment="1">
      <alignment horizontal="right" vertical="top" wrapText="1"/>
    </xf>
    <xf numFmtId="4" fontId="45" fillId="0" borderId="0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9" fontId="45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5" fillId="0" borderId="19" xfId="0" applyFont="1" applyFill="1" applyBorder="1" applyAlignment="1" applyProtection="1">
      <alignment horizontal="justify" vertical="center"/>
      <protection hidden="1"/>
    </xf>
    <xf numFmtId="14" fontId="15" fillId="0" borderId="23" xfId="0" applyNumberFormat="1" applyFont="1" applyFill="1" applyBorder="1" applyAlignment="1" applyProtection="1">
      <alignment horizont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5" fillId="0" borderId="19" xfId="0" applyFont="1" applyFill="1" applyBorder="1" applyAlignment="1" applyProtection="1">
      <alignment horizontal="justify"/>
      <protection hidden="1"/>
    </xf>
    <xf numFmtId="0" fontId="16" fillId="0" borderId="19" xfId="0" applyFont="1" applyFill="1" applyBorder="1" applyProtection="1">
      <protection hidden="1"/>
    </xf>
    <xf numFmtId="2" fontId="0" fillId="0" borderId="19" xfId="0" applyNumberFormat="1" applyFill="1" applyBorder="1" applyProtection="1">
      <protection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0" xfId="0" applyFont="1" applyFill="1" applyProtection="1">
      <protection locked="0" hidden="1"/>
    </xf>
    <xf numFmtId="43" fontId="1" fillId="0" borderId="0" xfId="33" applyFont="1" applyFill="1" applyProtection="1">
      <protection locked="0" hidden="1"/>
    </xf>
    <xf numFmtId="0" fontId="1" fillId="0" borderId="0" xfId="0" applyNumberFormat="1" applyFont="1" applyFill="1" applyAlignment="1" applyProtection="1">
      <alignment horizontal="center"/>
      <protection hidden="1"/>
    </xf>
    <xf numFmtId="43" fontId="7" fillId="0" borderId="0" xfId="33" applyFont="1" applyFill="1" applyAlignment="1" applyProtection="1">
      <alignment horizontal="center"/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43" fontId="10" fillId="0" borderId="0" xfId="33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43" fontId="11" fillId="0" borderId="19" xfId="0" applyNumberFormat="1" applyFont="1" applyFill="1" applyBorder="1" applyProtection="1">
      <protection locked="0" hidden="1"/>
    </xf>
    <xf numFmtId="9" fontId="0" fillId="0" borderId="0" xfId="0" applyNumberFormat="1" applyFill="1" applyProtection="1"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5" fillId="0" borderId="19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9" fillId="0" borderId="19" xfId="33" applyFont="1" applyFill="1" applyBorder="1" applyAlignment="1" applyProtection="1">
      <alignment horizontal="center"/>
      <protection hidden="1"/>
    </xf>
    <xf numFmtId="43" fontId="39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167" fontId="0" fillId="0" borderId="0" xfId="33" applyNumberFormat="1" applyFont="1" applyFill="1" applyProtection="1">
      <protection hidden="1"/>
    </xf>
    <xf numFmtId="0" fontId="35" fillId="0" borderId="19" xfId="0" applyFont="1" applyFill="1" applyBorder="1" applyAlignment="1" applyProtection="1">
      <alignment horizontal="center" vertical="justify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6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43" fontId="1" fillId="0" borderId="19" xfId="33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43" fontId="7" fillId="0" borderId="0" xfId="33" applyFont="1" applyFill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5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0" fontId="1" fillId="0" borderId="20" xfId="0" applyNumberFormat="1" applyFont="1" applyFill="1" applyBorder="1" applyAlignment="1" applyProtection="1">
      <alignment horizontal="center"/>
      <protection hidden="1"/>
    </xf>
    <xf numFmtId="43" fontId="43" fillId="0" borderId="0" xfId="0" applyNumberFormat="1" applyFont="1" applyFill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0" fontId="11" fillId="0" borderId="20" xfId="0" applyNumberFormat="1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Protection="1">
      <protection locked="0" hidden="1"/>
    </xf>
    <xf numFmtId="14" fontId="15" fillId="0" borderId="22" xfId="0" applyNumberFormat="1" applyFont="1" applyFill="1" applyBorder="1" applyAlignment="1" applyProtection="1">
      <alignment horizontal="center"/>
      <protection hidden="1"/>
    </xf>
    <xf numFmtId="43" fontId="42" fillId="0" borderId="0" xfId="0" applyNumberFormat="1" applyFont="1" applyFill="1" applyProtection="1">
      <protection hidden="1"/>
    </xf>
    <xf numFmtId="0" fontId="0" fillId="0" borderId="19" xfId="0" applyFill="1" applyBorder="1" applyProtection="1">
      <protection locked="0" hidden="1"/>
    </xf>
    <xf numFmtId="0" fontId="16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14" fontId="15" fillId="0" borderId="2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0" fontId="17" fillId="0" borderId="0" xfId="0" applyFont="1" applyFill="1" applyProtection="1">
      <protection hidden="1"/>
    </xf>
    <xf numFmtId="14" fontId="37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1" fillId="0" borderId="19" xfId="0" applyFont="1" applyFill="1" applyBorder="1" applyProtection="1">
      <protection hidden="1"/>
    </xf>
    <xf numFmtId="0" fontId="44" fillId="0" borderId="19" xfId="0" applyFont="1" applyFill="1" applyBorder="1" applyProtection="1">
      <protection hidden="1"/>
    </xf>
    <xf numFmtId="0" fontId="3" fillId="0" borderId="19" xfId="0" applyFont="1" applyFill="1" applyBorder="1" applyAlignment="1" applyProtection="1">
      <alignment horizontal="center"/>
      <protection locked="0" hidden="1"/>
    </xf>
    <xf numFmtId="0" fontId="1" fillId="0" borderId="19" xfId="0" applyFont="1" applyFill="1" applyBorder="1" applyAlignment="1" applyProtection="1">
      <alignment horizontal="center" vertical="center"/>
      <protection locked="0" hidden="1"/>
    </xf>
    <xf numFmtId="43" fontId="10" fillId="0" borderId="0" xfId="33" applyFont="1" applyFill="1" applyAlignment="1" applyProtection="1">
      <alignment horizontal="center"/>
      <protection hidden="1"/>
    </xf>
    <xf numFmtId="0" fontId="3" fillId="0" borderId="18" xfId="0" applyFont="1" applyFill="1" applyBorder="1" applyProtection="1">
      <protection hidden="1"/>
    </xf>
    <xf numFmtId="0" fontId="6" fillId="0" borderId="0" xfId="0" applyFont="1" applyFill="1" applyProtection="1">
      <protection hidden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microsoft.com/office/2006/relationships/vbaProject" Target="vbaProject.bin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ORERIA\TRANSPARENCIA\NOMINA%201A.%20QUINCENA%20OCTUBRE%20BUENA%202015%20juan%20lui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ORERIA\TRANSPARENCIA\NOMINA%202DA.%20QUINCENA%20FEBRERO%202015%20juan%20lui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SORERIA\TRANSPARENCIA\NOMINA%201a%20QUINCENA%20ENERO%202015%20juan%20lui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MPLEADOS"/>
      <sheetName val="1A. QUINC OCTUBRE 2015(1A)"/>
      <sheetName val="1A. QUINC OCTUBRE 2015 "/>
      <sheetName val="ACUMULADO"/>
      <sheetName val="Tablas 2015"/>
      <sheetName val="Hoja1"/>
      <sheetName val="finiquito"/>
    </sheetNames>
    <sheetDataSet>
      <sheetData sheetId="0">
        <row r="10">
          <cell r="D1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MPLEADOS"/>
      <sheetName val="1A. QUINC ENERO 2015"/>
      <sheetName val="ACUMULADO"/>
      <sheetName val="Tablas 2015"/>
      <sheetName val="Hoja1"/>
    </sheetNames>
    <sheetDataSet>
      <sheetData sheetId="0">
        <row r="10">
          <cell r="D10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EMPLEADOS"/>
      <sheetName val="1A. QUINC ENERO 2015"/>
      <sheetName val="ACUMULADO"/>
      <sheetName val="Tablas 2015"/>
      <sheetName val="Hoja1"/>
    </sheetNames>
    <sheetDataSet>
      <sheetData sheetId="0">
        <row r="10">
          <cell r="D10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I420"/>
  <sheetViews>
    <sheetView tabSelected="1" topLeftCell="A162" workbookViewId="0">
      <selection activeCell="A421" sqref="A421:XFD619"/>
    </sheetView>
  </sheetViews>
  <sheetFormatPr baseColWidth="10" defaultRowHeight="15"/>
  <cols>
    <col min="1" max="1" width="0.5703125" style="93" customWidth="1"/>
    <col min="2" max="2" width="3.5703125" style="10" hidden="1" customWidth="1"/>
    <col min="3" max="3" width="3.85546875" style="10" hidden="1" customWidth="1"/>
    <col min="4" max="4" width="45.85546875" style="45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5" customWidth="1"/>
    <col min="9" max="9" width="5.5703125" style="36" customWidth="1"/>
    <col min="10" max="10" width="9" style="36" hidden="1" customWidth="1"/>
    <col min="11" max="11" width="11.42578125" style="10" hidden="1" customWidth="1"/>
    <col min="12" max="12" width="12.5703125" style="10" hidden="1" customWidth="1"/>
    <col min="13" max="13" width="11.42578125" style="10" hidden="1" customWidth="1"/>
    <col min="14" max="14" width="11.85546875" style="10" hidden="1" customWidth="1"/>
    <col min="15" max="15" width="11.5703125" style="10" customWidth="1"/>
    <col min="16" max="16" width="10.5703125" style="10" customWidth="1"/>
    <col min="17" max="17" width="10.7109375" style="10" customWidth="1"/>
    <col min="18" max="18" width="11" style="10" hidden="1" customWidth="1"/>
    <col min="19" max="19" width="11.42578125" style="10" hidden="1" customWidth="1"/>
    <col min="20" max="20" width="12.85546875" style="10" hidden="1" customWidth="1"/>
    <col min="21" max="21" width="11.42578125" style="10" hidden="1" customWidth="1"/>
    <col min="22" max="22" width="7.140625" style="10" hidden="1" customWidth="1"/>
    <col min="23" max="23" width="9.5703125" style="54" customWidth="1"/>
    <col min="24" max="24" width="11.140625" style="37" customWidth="1"/>
    <col min="25" max="25" width="11" style="10" hidden="1" customWidth="1"/>
    <col min="26" max="26" width="10.85546875" style="10" customWidth="1"/>
    <col min="27" max="27" width="9.42578125" style="10" customWidth="1"/>
    <col min="28" max="28" width="11.5703125" style="10" bestFit="1" customWidth="1"/>
    <col min="29" max="29" width="6.85546875" style="10" hidden="1" customWidth="1"/>
    <col min="30" max="30" width="64.5703125" style="10" customWidth="1"/>
    <col min="31" max="31" width="11.5703125" style="10" customWidth="1"/>
    <col min="32" max="32" width="11.42578125" style="10" customWidth="1"/>
    <col min="33" max="16384" width="11.42578125" style="10"/>
  </cols>
  <sheetData>
    <row r="1" spans="1:35" ht="51.75" hidden="1" customHeight="1">
      <c r="M1" s="10">
        <f t="shared" ref="M1:U1" si="0">SUBTOTAL(9,M9:M328)</f>
        <v>0</v>
      </c>
      <c r="N1" s="10">
        <f t="shared" si="0"/>
        <v>46551.457233333364</v>
      </c>
      <c r="O1" s="10">
        <f t="shared" si="0"/>
        <v>2049246.5400000007</v>
      </c>
      <c r="P1" s="10">
        <f t="shared" si="0"/>
        <v>81968.939999999886</v>
      </c>
      <c r="Q1" s="10">
        <f t="shared" si="0"/>
        <v>143445.92999999988</v>
      </c>
      <c r="R1" s="38">
        <f t="shared" si="0"/>
        <v>0</v>
      </c>
      <c r="S1" s="10">
        <f t="shared" si="0"/>
        <v>225414.87000000037</v>
      </c>
      <c r="T1" s="10">
        <f t="shared" si="0"/>
        <v>2049246.5400000007</v>
      </c>
      <c r="U1" s="10">
        <f t="shared" si="0"/>
        <v>2274661.41</v>
      </c>
      <c r="W1" s="54">
        <f>SUBTOTAL(9,W9:W328)</f>
        <v>0</v>
      </c>
      <c r="X1" s="37">
        <f>SUBTOTAL(9,X9:X328)</f>
        <v>0</v>
      </c>
      <c r="Y1" s="10" t="e">
        <f>SUBTOTAL(9,Y9:Y312)</f>
        <v>#N/A</v>
      </c>
      <c r="Z1" s="10">
        <f>SUBTOTAL(9,Z9:Z328)</f>
        <v>140652.47999999989</v>
      </c>
      <c r="AA1" s="10">
        <f>SUBTOTAL(9,AA9:AA328)</f>
        <v>14997.869999999999</v>
      </c>
      <c r="AB1" s="10">
        <f>SUBTOTAL(9,AB9:AB328)</f>
        <v>2149006.7999999975</v>
      </c>
      <c r="AD1" s="10">
        <f>SUBTOTAL(9,AD9:AD312)</f>
        <v>0</v>
      </c>
    </row>
    <row r="2" spans="1:35" hidden="1">
      <c r="O2" s="46">
        <f>TRUNC(N2*I2,2)</f>
        <v>0</v>
      </c>
      <c r="P2" s="47">
        <f>TRUNC(N2*I2*0.04,2)</f>
        <v>0</v>
      </c>
      <c r="Q2" s="46">
        <f>TRUNC(N2*0.07*I2,2)</f>
        <v>0</v>
      </c>
      <c r="R2" s="38">
        <f>L2</f>
        <v>0</v>
      </c>
      <c r="S2" s="46">
        <f>TRUNC(Q2+P2+(IF(R2&gt;519,519,R2))+IF(K2=0,0,K2*N2),2)</f>
        <v>0</v>
      </c>
      <c r="T2" s="46">
        <f>TRUNC((IF(K2=0,I2*N2,(I2-K2)*N2))+(IF(R2&lt;519,0,R2-519)),2)+M2</f>
        <v>0</v>
      </c>
      <c r="U2" s="46">
        <f>S2+T2</f>
        <v>0</v>
      </c>
      <c r="V2" s="46">
        <f>P2</f>
        <v>0</v>
      </c>
      <c r="W2" s="88"/>
      <c r="X2" s="46"/>
      <c r="Y2" s="39">
        <f>IF(N2&gt;0.01,(T2-VLOOKUP(T2,quincenal,1))*VLOOKUP(T2,quincenal,3)+VLOOKUP(T2,quincenal,2)-VLOOKUP(T2,subquincenal,2),0)</f>
        <v>0</v>
      </c>
      <c r="Z2" s="46">
        <f>TRUNC(IF(Y2&gt;0.01,Y2,0),2)</f>
        <v>0</v>
      </c>
      <c r="AA2" s="49">
        <f>TRUNC(IF(Y2&lt;0.01,-Y2,0),2)</f>
        <v>0</v>
      </c>
      <c r="AB2" s="49">
        <f>U2-W2-X2-Z2+AA2-P2</f>
        <v>0</v>
      </c>
      <c r="AC2" s="50" t="e">
        <f>#REF!</f>
        <v>#REF!</v>
      </c>
      <c r="AE2" s="48"/>
    </row>
    <row r="3" spans="1:35" ht="15.75">
      <c r="A3" s="161" t="s">
        <v>554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48"/>
    </row>
    <row r="4" spans="1:35" ht="15" customHeight="1">
      <c r="A4" s="109"/>
      <c r="B4" s="157" t="s">
        <v>368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48"/>
    </row>
    <row r="5" spans="1:35" ht="15" customHeight="1">
      <c r="A5" s="109"/>
      <c r="B5" s="158" t="s">
        <v>733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48"/>
    </row>
    <row r="6" spans="1:35" ht="14.25">
      <c r="B6" s="56"/>
      <c r="D6" s="79" t="s">
        <v>734</v>
      </c>
      <c r="P6" s="47"/>
      <c r="Q6" s="46"/>
      <c r="R6" s="38"/>
      <c r="S6" s="46"/>
      <c r="T6" s="46"/>
      <c r="U6" s="46"/>
      <c r="V6" s="46"/>
      <c r="W6" s="88"/>
      <c r="X6" s="46"/>
      <c r="Y6" s="39"/>
      <c r="Z6" s="46"/>
      <c r="AA6" s="49"/>
      <c r="AB6" s="49"/>
      <c r="AC6" s="50"/>
      <c r="AE6" s="48"/>
    </row>
    <row r="7" spans="1:35" ht="48" customHeight="1">
      <c r="A7" s="78"/>
      <c r="B7" s="57" t="s">
        <v>131</v>
      </c>
      <c r="C7" s="57" t="s">
        <v>0</v>
      </c>
      <c r="D7" s="58" t="s">
        <v>1</v>
      </c>
      <c r="E7" s="59" t="s">
        <v>133</v>
      </c>
      <c r="F7" s="59" t="s">
        <v>134</v>
      </c>
      <c r="G7" s="59" t="s">
        <v>2</v>
      </c>
      <c r="H7" s="60" t="s">
        <v>3</v>
      </c>
      <c r="I7" s="57" t="s">
        <v>5</v>
      </c>
      <c r="J7" s="57" t="s">
        <v>150</v>
      </c>
      <c r="K7" s="57" t="s">
        <v>4</v>
      </c>
      <c r="L7" s="57" t="s">
        <v>153</v>
      </c>
      <c r="M7" s="57" t="s">
        <v>156</v>
      </c>
      <c r="N7" s="57" t="s">
        <v>151</v>
      </c>
      <c r="O7" s="57" t="s">
        <v>290</v>
      </c>
      <c r="P7" s="57" t="s">
        <v>6</v>
      </c>
      <c r="Q7" s="57" t="s">
        <v>7</v>
      </c>
      <c r="R7" s="57" t="s">
        <v>153</v>
      </c>
      <c r="S7" s="57" t="s">
        <v>8</v>
      </c>
      <c r="T7" s="57" t="s">
        <v>9</v>
      </c>
      <c r="U7" s="57" t="s">
        <v>10</v>
      </c>
      <c r="V7" s="57" t="s">
        <v>209</v>
      </c>
      <c r="W7" s="89" t="s">
        <v>11</v>
      </c>
      <c r="X7" s="94" t="s">
        <v>165</v>
      </c>
      <c r="Y7" s="57" t="s">
        <v>132</v>
      </c>
      <c r="Z7" s="57" t="s">
        <v>12</v>
      </c>
      <c r="AA7" s="57" t="s">
        <v>13</v>
      </c>
      <c r="AB7" s="57" t="s">
        <v>14</v>
      </c>
      <c r="AC7" s="57" t="s">
        <v>155</v>
      </c>
      <c r="AD7" s="57" t="s">
        <v>291</v>
      </c>
    </row>
    <row r="8" spans="1:35" ht="18" customHeight="1">
      <c r="A8" s="78"/>
      <c r="B8" s="61"/>
      <c r="C8" s="61"/>
      <c r="D8" s="61" t="s">
        <v>17</v>
      </c>
      <c r="E8" s="62"/>
      <c r="F8" s="62"/>
      <c r="G8" s="62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87"/>
      <c r="X8" s="87"/>
      <c r="Y8" s="61"/>
      <c r="Z8" s="61"/>
      <c r="AA8" s="61"/>
      <c r="AB8" s="61"/>
      <c r="AC8" s="61"/>
      <c r="AD8" s="61"/>
    </row>
    <row r="9" spans="1:35" s="40" customFormat="1" ht="36" customHeight="1">
      <c r="A9" s="105">
        <v>1</v>
      </c>
      <c r="B9" s="71">
        <v>1</v>
      </c>
      <c r="C9" s="71">
        <v>1</v>
      </c>
      <c r="D9" s="64" t="s">
        <v>573</v>
      </c>
      <c r="E9" s="150" t="s">
        <v>181</v>
      </c>
      <c r="F9" s="150" t="s">
        <v>217</v>
      </c>
      <c r="G9" s="66">
        <v>41183</v>
      </c>
      <c r="H9" s="107" t="s">
        <v>15</v>
      </c>
      <c r="I9" s="72">
        <v>15</v>
      </c>
      <c r="J9" s="72" t="s">
        <v>272</v>
      </c>
      <c r="K9" s="72"/>
      <c r="L9" s="73">
        <v>0</v>
      </c>
      <c r="M9" s="74">
        <v>0</v>
      </c>
      <c r="N9" s="80">
        <f>8023/15</f>
        <v>534.86666666666667</v>
      </c>
      <c r="O9" s="81">
        <f>TRUNC(N9*I9,2)</f>
        <v>8023</v>
      </c>
      <c r="P9" s="82">
        <f>TRUNC(N9*I9*0.04,2)</f>
        <v>320.92</v>
      </c>
      <c r="Q9" s="81">
        <f>TRUNC(N9*0.07*I9,2)</f>
        <v>561.61</v>
      </c>
      <c r="R9" s="83">
        <f>L9</f>
        <v>0</v>
      </c>
      <c r="S9" s="81">
        <f>TRUNC(Q9+P9+(IF(R9&gt;519,519,R9))+IF(K9=0,0,K9*N9),2)</f>
        <v>882.53</v>
      </c>
      <c r="T9" s="81">
        <f>TRUNC((IF(K9=0,I9*N9,(I9-K9)*N9))+(IF(R9&lt;519,0,R9-519)),2)+M9</f>
        <v>8023</v>
      </c>
      <c r="U9" s="81">
        <f>S9+T9</f>
        <v>8905.5300000000007</v>
      </c>
      <c r="V9" s="81"/>
      <c r="W9" s="81"/>
      <c r="X9" s="81">
        <v>0</v>
      </c>
      <c r="Y9" s="84">
        <f>IF(N9&gt;0.01,(T9-VLOOKUP(T9,quincenal,1))*VLOOKUP(T9,quincenal,3)+VLOOKUP(T9,quincenal,2)-VLOOKUP(T9,subquincenal,2),0)</f>
        <v>1166.5236240000002</v>
      </c>
      <c r="Z9" s="81">
        <f t="shared" ref="Z9:Z17" si="1">TRUNC(IF(Y9&gt;0.01,Y9,0),2)</f>
        <v>1166.52</v>
      </c>
      <c r="AA9" s="85">
        <f>TRUNC(IF(Y9&lt;0.01,-Y9,0),2)</f>
        <v>0</v>
      </c>
      <c r="AB9" s="85">
        <f>U9-W9-X9-Z9+AA9</f>
        <v>7739.01</v>
      </c>
      <c r="AC9" s="86" t="e">
        <f>#REF!</f>
        <v>#REF!</v>
      </c>
      <c r="AD9" s="177"/>
      <c r="AE9" s="40">
        <v>1</v>
      </c>
      <c r="AG9" s="91"/>
      <c r="AI9" s="178"/>
    </row>
    <row r="10" spans="1:35" s="40" customFormat="1" ht="36" customHeight="1">
      <c r="A10" s="105"/>
      <c r="B10" s="71"/>
      <c r="C10" s="71"/>
      <c r="D10" s="64" t="s">
        <v>726</v>
      </c>
      <c r="E10" s="150"/>
      <c r="F10" s="150"/>
      <c r="G10" s="66"/>
      <c r="H10" s="107" t="s">
        <v>15</v>
      </c>
      <c r="I10" s="72">
        <v>15</v>
      </c>
      <c r="J10" s="72" t="s">
        <v>272</v>
      </c>
      <c r="K10" s="72"/>
      <c r="L10" s="73">
        <v>0</v>
      </c>
      <c r="M10" s="74">
        <v>0</v>
      </c>
      <c r="N10" s="80">
        <f t="shared" ref="N10:N17" si="2">8023/15</f>
        <v>534.86666666666667</v>
      </c>
      <c r="O10" s="81">
        <f t="shared" ref="O10" si="3">TRUNC(N10*I10,2)</f>
        <v>8023</v>
      </c>
      <c r="P10" s="82">
        <f t="shared" ref="P10" si="4">TRUNC(N10*I10*0.04,2)</f>
        <v>320.92</v>
      </c>
      <c r="Q10" s="81">
        <f t="shared" ref="Q10" si="5">TRUNC(N10*0.07*I10,2)</f>
        <v>561.61</v>
      </c>
      <c r="R10" s="83">
        <f t="shared" ref="R10" si="6">L10</f>
        <v>0</v>
      </c>
      <c r="S10" s="81">
        <f t="shared" ref="S10" si="7">TRUNC(Q10+P10+(IF(R10&gt;519,519,R10))+IF(K10=0,0,K10*N10),2)</f>
        <v>882.53</v>
      </c>
      <c r="T10" s="81">
        <f t="shared" ref="T10" si="8">TRUNC((IF(K10=0,I10*N10,(I10-K10)*N10))+(IF(R10&lt;519,0,R10-519)),2)+M10</f>
        <v>8023</v>
      </c>
      <c r="U10" s="81">
        <f t="shared" ref="U10" si="9">S10+T10</f>
        <v>8905.5300000000007</v>
      </c>
      <c r="V10" s="81"/>
      <c r="W10" s="81"/>
      <c r="X10" s="81">
        <v>0</v>
      </c>
      <c r="Y10" s="84">
        <f t="shared" ref="Y10" si="10">IF(N10&gt;0.01,(T10-VLOOKUP(T10,quincenal,1))*VLOOKUP(T10,quincenal,3)+VLOOKUP(T10,quincenal,2)-VLOOKUP(T10,subquincenal,2),0)</f>
        <v>1166.5236240000002</v>
      </c>
      <c r="Z10" s="81">
        <f t="shared" ref="Z10" si="11">TRUNC(IF(Y10&gt;0.01,Y10,0),2)</f>
        <v>1166.52</v>
      </c>
      <c r="AA10" s="85">
        <f t="shared" ref="AA10" si="12">TRUNC(IF(Y10&lt;0.01,-Y10,0),2)</f>
        <v>0</v>
      </c>
      <c r="AB10" s="85">
        <f t="shared" ref="AB10" si="13">U10-W10-X10-Z10+AA10</f>
        <v>7739.01</v>
      </c>
      <c r="AC10" s="86"/>
      <c r="AD10" s="73"/>
      <c r="AE10" s="40">
        <v>2</v>
      </c>
      <c r="AG10" s="91"/>
    </row>
    <row r="11" spans="1:35" s="40" customFormat="1" ht="36" customHeight="1">
      <c r="A11" s="105">
        <v>3</v>
      </c>
      <c r="B11" s="71">
        <v>1</v>
      </c>
      <c r="C11" s="71">
        <v>1</v>
      </c>
      <c r="D11" s="64" t="s">
        <v>574</v>
      </c>
      <c r="E11" s="150"/>
      <c r="F11" s="150"/>
      <c r="G11" s="66">
        <v>41183</v>
      </c>
      <c r="H11" s="107" t="s">
        <v>15</v>
      </c>
      <c r="I11" s="72">
        <v>15</v>
      </c>
      <c r="J11" s="72" t="s">
        <v>272</v>
      </c>
      <c r="K11" s="72"/>
      <c r="L11" s="73">
        <v>0</v>
      </c>
      <c r="M11" s="74">
        <v>0</v>
      </c>
      <c r="N11" s="80">
        <f t="shared" si="2"/>
        <v>534.86666666666667</v>
      </c>
      <c r="O11" s="81">
        <f t="shared" ref="O11:O17" si="14">TRUNC(N11*I11,2)</f>
        <v>8023</v>
      </c>
      <c r="P11" s="82">
        <f t="shared" ref="P11:P18" si="15">TRUNC(N11*I11*0.04,2)</f>
        <v>320.92</v>
      </c>
      <c r="Q11" s="81">
        <f t="shared" ref="Q11:Q18" si="16">TRUNC(N11*0.07*I11,2)</f>
        <v>561.61</v>
      </c>
      <c r="R11" s="83">
        <f t="shared" ref="R11:R18" si="17">L11</f>
        <v>0</v>
      </c>
      <c r="S11" s="81">
        <f t="shared" ref="S11:S18" si="18">TRUNC(Q11+P11+(IF(R11&gt;519,519,R11))+IF(K11=0,0,K11*N11),2)</f>
        <v>882.53</v>
      </c>
      <c r="T11" s="81">
        <f t="shared" ref="T11:T18" si="19">TRUNC((IF(K11=0,I11*N11,(I11-K11)*N11))+(IF(R11&lt;519,0,R11-519)),2)+M11</f>
        <v>8023</v>
      </c>
      <c r="U11" s="81">
        <f t="shared" ref="U11:U18" si="20">S11+T11</f>
        <v>8905.5300000000007</v>
      </c>
      <c r="V11" s="81"/>
      <c r="W11" s="81"/>
      <c r="X11" s="81">
        <v>0</v>
      </c>
      <c r="Y11" s="84">
        <f t="shared" ref="Y11:Y17" si="21">IF(N11&gt;0.01,(T11-VLOOKUP(T11,quincenal,1))*VLOOKUP(T11,quincenal,3)+VLOOKUP(T11,quincenal,2)-VLOOKUP(T11,subquincenal,2),0)</f>
        <v>1166.5236240000002</v>
      </c>
      <c r="Z11" s="81">
        <f t="shared" si="1"/>
        <v>1166.52</v>
      </c>
      <c r="AA11" s="85">
        <f t="shared" ref="AA11:AA17" si="22">TRUNC(IF(Y11&lt;0.01,-Y11,0),2)</f>
        <v>0</v>
      </c>
      <c r="AB11" s="85">
        <f t="shared" ref="AB11:AB18" si="23">U11-W11-X11-Z11+AA11</f>
        <v>7739.01</v>
      </c>
      <c r="AC11" s="86" t="e">
        <f>#REF!</f>
        <v>#REF!</v>
      </c>
      <c r="AD11" s="73"/>
      <c r="AE11" s="40">
        <v>3</v>
      </c>
      <c r="AG11" s="91"/>
    </row>
    <row r="12" spans="1:35" s="40" customFormat="1" ht="36" customHeight="1">
      <c r="A12" s="105">
        <v>4</v>
      </c>
      <c r="B12" s="71">
        <v>1</v>
      </c>
      <c r="C12" s="71">
        <v>1</v>
      </c>
      <c r="D12" s="64" t="s">
        <v>575</v>
      </c>
      <c r="E12" s="150"/>
      <c r="F12" s="150"/>
      <c r="G12" s="66">
        <v>41183</v>
      </c>
      <c r="H12" s="107" t="s">
        <v>15</v>
      </c>
      <c r="I12" s="72">
        <v>15</v>
      </c>
      <c r="J12" s="72" t="s">
        <v>272</v>
      </c>
      <c r="K12" s="72"/>
      <c r="L12" s="73">
        <v>0</v>
      </c>
      <c r="M12" s="74">
        <v>0</v>
      </c>
      <c r="N12" s="80">
        <f t="shared" si="2"/>
        <v>534.86666666666667</v>
      </c>
      <c r="O12" s="81">
        <f t="shared" si="14"/>
        <v>8023</v>
      </c>
      <c r="P12" s="82">
        <f t="shared" si="15"/>
        <v>320.92</v>
      </c>
      <c r="Q12" s="81">
        <f t="shared" si="16"/>
        <v>561.61</v>
      </c>
      <c r="R12" s="83">
        <f t="shared" si="17"/>
        <v>0</v>
      </c>
      <c r="S12" s="81">
        <f t="shared" si="18"/>
        <v>882.53</v>
      </c>
      <c r="T12" s="81">
        <f t="shared" si="19"/>
        <v>8023</v>
      </c>
      <c r="U12" s="81">
        <f t="shared" si="20"/>
        <v>8905.5300000000007</v>
      </c>
      <c r="V12" s="81"/>
      <c r="W12" s="81"/>
      <c r="X12" s="81">
        <v>0</v>
      </c>
      <c r="Y12" s="84">
        <f t="shared" si="21"/>
        <v>1166.5236240000002</v>
      </c>
      <c r="Z12" s="81">
        <f t="shared" si="1"/>
        <v>1166.52</v>
      </c>
      <c r="AA12" s="85">
        <f t="shared" si="22"/>
        <v>0</v>
      </c>
      <c r="AB12" s="85">
        <f t="shared" si="23"/>
        <v>7739.01</v>
      </c>
      <c r="AC12" s="86" t="e">
        <f>#REF!</f>
        <v>#REF!</v>
      </c>
      <c r="AD12" s="73"/>
      <c r="AE12" s="40">
        <v>4</v>
      </c>
      <c r="AG12" s="91"/>
    </row>
    <row r="13" spans="1:35" s="40" customFormat="1" ht="36" customHeight="1">
      <c r="A13" s="105">
        <v>5</v>
      </c>
      <c r="B13" s="71">
        <v>1</v>
      </c>
      <c r="C13" s="71">
        <v>1</v>
      </c>
      <c r="D13" s="64" t="s">
        <v>576</v>
      </c>
      <c r="E13" s="150"/>
      <c r="F13" s="150"/>
      <c r="G13" s="66">
        <v>41183</v>
      </c>
      <c r="H13" s="107" t="s">
        <v>15</v>
      </c>
      <c r="I13" s="72">
        <v>15</v>
      </c>
      <c r="J13" s="72" t="s">
        <v>272</v>
      </c>
      <c r="K13" s="72"/>
      <c r="L13" s="73">
        <v>0</v>
      </c>
      <c r="M13" s="74">
        <v>0</v>
      </c>
      <c r="N13" s="80">
        <f t="shared" si="2"/>
        <v>534.86666666666667</v>
      </c>
      <c r="O13" s="81">
        <f t="shared" si="14"/>
        <v>8023</v>
      </c>
      <c r="P13" s="82">
        <f t="shared" si="15"/>
        <v>320.92</v>
      </c>
      <c r="Q13" s="81">
        <f t="shared" si="16"/>
        <v>561.61</v>
      </c>
      <c r="R13" s="83">
        <f t="shared" si="17"/>
        <v>0</v>
      </c>
      <c r="S13" s="81">
        <f t="shared" si="18"/>
        <v>882.53</v>
      </c>
      <c r="T13" s="81">
        <f t="shared" si="19"/>
        <v>8023</v>
      </c>
      <c r="U13" s="81">
        <f t="shared" si="20"/>
        <v>8905.5300000000007</v>
      </c>
      <c r="V13" s="81"/>
      <c r="W13" s="81"/>
      <c r="X13" s="81">
        <v>0</v>
      </c>
      <c r="Y13" s="84">
        <f t="shared" si="21"/>
        <v>1166.5236240000002</v>
      </c>
      <c r="Z13" s="81">
        <f t="shared" si="1"/>
        <v>1166.52</v>
      </c>
      <c r="AA13" s="85">
        <f t="shared" si="22"/>
        <v>0</v>
      </c>
      <c r="AB13" s="85">
        <f t="shared" si="23"/>
        <v>7739.01</v>
      </c>
      <c r="AC13" s="86" t="e">
        <f>#REF!</f>
        <v>#REF!</v>
      </c>
      <c r="AD13" s="73"/>
      <c r="AE13" s="40">
        <v>5</v>
      </c>
      <c r="AG13" s="91"/>
    </row>
    <row r="14" spans="1:35" s="40" customFormat="1" ht="36" customHeight="1">
      <c r="A14" s="105">
        <v>6</v>
      </c>
      <c r="B14" s="71">
        <v>1</v>
      </c>
      <c r="C14" s="71">
        <v>1</v>
      </c>
      <c r="D14" s="64" t="s">
        <v>569</v>
      </c>
      <c r="E14" s="150"/>
      <c r="F14" s="150"/>
      <c r="G14" s="66">
        <v>41183</v>
      </c>
      <c r="H14" s="107" t="s">
        <v>15</v>
      </c>
      <c r="I14" s="72">
        <v>15</v>
      </c>
      <c r="J14" s="72" t="s">
        <v>272</v>
      </c>
      <c r="K14" s="72"/>
      <c r="L14" s="73">
        <v>0</v>
      </c>
      <c r="M14" s="74">
        <v>0</v>
      </c>
      <c r="N14" s="80">
        <f t="shared" si="2"/>
        <v>534.86666666666667</v>
      </c>
      <c r="O14" s="81">
        <f t="shared" si="14"/>
        <v>8023</v>
      </c>
      <c r="P14" s="82">
        <f t="shared" si="15"/>
        <v>320.92</v>
      </c>
      <c r="Q14" s="81">
        <f t="shared" si="16"/>
        <v>561.61</v>
      </c>
      <c r="R14" s="83">
        <f t="shared" si="17"/>
        <v>0</v>
      </c>
      <c r="S14" s="81">
        <f t="shared" si="18"/>
        <v>882.53</v>
      </c>
      <c r="T14" s="81">
        <f t="shared" si="19"/>
        <v>8023</v>
      </c>
      <c r="U14" s="81">
        <f t="shared" si="20"/>
        <v>8905.5300000000007</v>
      </c>
      <c r="V14" s="81"/>
      <c r="W14" s="81"/>
      <c r="X14" s="81">
        <v>0</v>
      </c>
      <c r="Y14" s="84">
        <f t="shared" si="21"/>
        <v>1166.5236240000002</v>
      </c>
      <c r="Z14" s="81">
        <f t="shared" si="1"/>
        <v>1166.52</v>
      </c>
      <c r="AA14" s="85">
        <f t="shared" si="22"/>
        <v>0</v>
      </c>
      <c r="AB14" s="85">
        <f t="shared" si="23"/>
        <v>7739.01</v>
      </c>
      <c r="AC14" s="86" t="e">
        <f>#REF!</f>
        <v>#REF!</v>
      </c>
      <c r="AD14" s="73"/>
      <c r="AE14" s="40">
        <v>6</v>
      </c>
      <c r="AG14" s="91"/>
    </row>
    <row r="15" spans="1:35" s="40" customFormat="1" ht="36" customHeight="1">
      <c r="A15" s="105">
        <v>7</v>
      </c>
      <c r="B15" s="71">
        <v>1</v>
      </c>
      <c r="C15" s="71">
        <v>1</v>
      </c>
      <c r="D15" s="64" t="s">
        <v>571</v>
      </c>
      <c r="E15" s="150"/>
      <c r="F15" s="150"/>
      <c r="G15" s="66">
        <v>41183</v>
      </c>
      <c r="H15" s="107" t="s">
        <v>15</v>
      </c>
      <c r="I15" s="72">
        <v>15</v>
      </c>
      <c r="J15" s="72" t="s">
        <v>272</v>
      </c>
      <c r="K15" s="72"/>
      <c r="L15" s="73">
        <v>0</v>
      </c>
      <c r="M15" s="74">
        <v>0</v>
      </c>
      <c r="N15" s="80">
        <f t="shared" si="2"/>
        <v>534.86666666666667</v>
      </c>
      <c r="O15" s="81">
        <f t="shared" si="14"/>
        <v>8023</v>
      </c>
      <c r="P15" s="82">
        <f t="shared" si="15"/>
        <v>320.92</v>
      </c>
      <c r="Q15" s="81">
        <f t="shared" si="16"/>
        <v>561.61</v>
      </c>
      <c r="R15" s="83">
        <f t="shared" si="17"/>
        <v>0</v>
      </c>
      <c r="S15" s="81">
        <f t="shared" si="18"/>
        <v>882.53</v>
      </c>
      <c r="T15" s="81">
        <f t="shared" si="19"/>
        <v>8023</v>
      </c>
      <c r="U15" s="81">
        <f t="shared" si="20"/>
        <v>8905.5300000000007</v>
      </c>
      <c r="V15" s="81"/>
      <c r="W15" s="81"/>
      <c r="X15" s="81"/>
      <c r="Y15" s="84">
        <f t="shared" si="21"/>
        <v>1166.5236240000002</v>
      </c>
      <c r="Z15" s="81">
        <f t="shared" si="1"/>
        <v>1166.52</v>
      </c>
      <c r="AA15" s="85">
        <f t="shared" si="22"/>
        <v>0</v>
      </c>
      <c r="AB15" s="85">
        <f t="shared" si="23"/>
        <v>7739.01</v>
      </c>
      <c r="AC15" s="86" t="e">
        <f>#REF!</f>
        <v>#REF!</v>
      </c>
      <c r="AD15" s="73"/>
      <c r="AE15" s="40">
        <v>7</v>
      </c>
      <c r="AG15" s="91"/>
    </row>
    <row r="16" spans="1:35" s="40" customFormat="1" ht="36" customHeight="1">
      <c r="A16" s="105">
        <v>8</v>
      </c>
      <c r="B16" s="71">
        <v>1</v>
      </c>
      <c r="C16" s="71">
        <v>1</v>
      </c>
      <c r="D16" s="64" t="s">
        <v>577</v>
      </c>
      <c r="E16" s="150"/>
      <c r="F16" s="150"/>
      <c r="G16" s="66">
        <v>41183</v>
      </c>
      <c r="H16" s="107" t="s">
        <v>15</v>
      </c>
      <c r="I16" s="72">
        <v>15</v>
      </c>
      <c r="J16" s="72" t="s">
        <v>272</v>
      </c>
      <c r="K16" s="72"/>
      <c r="L16" s="73">
        <v>0</v>
      </c>
      <c r="M16" s="74">
        <v>0</v>
      </c>
      <c r="N16" s="80">
        <f t="shared" si="2"/>
        <v>534.86666666666667</v>
      </c>
      <c r="O16" s="81">
        <f t="shared" si="14"/>
        <v>8023</v>
      </c>
      <c r="P16" s="82">
        <f t="shared" si="15"/>
        <v>320.92</v>
      </c>
      <c r="Q16" s="81">
        <f t="shared" si="16"/>
        <v>561.61</v>
      </c>
      <c r="R16" s="83">
        <f t="shared" si="17"/>
        <v>0</v>
      </c>
      <c r="S16" s="81">
        <f t="shared" si="18"/>
        <v>882.53</v>
      </c>
      <c r="T16" s="81">
        <f t="shared" si="19"/>
        <v>8023</v>
      </c>
      <c r="U16" s="81">
        <f t="shared" si="20"/>
        <v>8905.5300000000007</v>
      </c>
      <c r="V16" s="81"/>
      <c r="W16" s="81"/>
      <c r="X16" s="81"/>
      <c r="Y16" s="84">
        <f t="shared" si="21"/>
        <v>1166.5236240000002</v>
      </c>
      <c r="Z16" s="81">
        <f t="shared" si="1"/>
        <v>1166.52</v>
      </c>
      <c r="AA16" s="85">
        <f t="shared" si="22"/>
        <v>0</v>
      </c>
      <c r="AB16" s="85">
        <f t="shared" si="23"/>
        <v>7739.01</v>
      </c>
      <c r="AC16" s="86" t="e">
        <f>#REF!</f>
        <v>#REF!</v>
      </c>
      <c r="AD16" s="73"/>
      <c r="AE16" s="40">
        <v>8</v>
      </c>
      <c r="AG16" s="91"/>
    </row>
    <row r="17" spans="1:33" s="40" customFormat="1" ht="36" customHeight="1">
      <c r="A17" s="105">
        <v>9</v>
      </c>
      <c r="B17" s="179">
        <v>1</v>
      </c>
      <c r="C17" s="71">
        <v>1</v>
      </c>
      <c r="D17" s="64" t="s">
        <v>249</v>
      </c>
      <c r="E17" s="150"/>
      <c r="F17" s="150"/>
      <c r="G17" s="66">
        <v>41183</v>
      </c>
      <c r="H17" s="107" t="s">
        <v>15</v>
      </c>
      <c r="I17" s="72">
        <v>15</v>
      </c>
      <c r="J17" s="72" t="s">
        <v>272</v>
      </c>
      <c r="K17" s="72"/>
      <c r="L17" s="73">
        <v>0</v>
      </c>
      <c r="M17" s="74">
        <v>0</v>
      </c>
      <c r="N17" s="80">
        <f t="shared" si="2"/>
        <v>534.86666666666667</v>
      </c>
      <c r="O17" s="81">
        <f t="shared" si="14"/>
        <v>8023</v>
      </c>
      <c r="P17" s="82">
        <f t="shared" si="15"/>
        <v>320.92</v>
      </c>
      <c r="Q17" s="81">
        <f t="shared" si="16"/>
        <v>561.61</v>
      </c>
      <c r="R17" s="83">
        <f t="shared" si="17"/>
        <v>0</v>
      </c>
      <c r="S17" s="81">
        <f t="shared" si="18"/>
        <v>882.53</v>
      </c>
      <c r="T17" s="81">
        <f t="shared" si="19"/>
        <v>8023</v>
      </c>
      <c r="U17" s="81">
        <f t="shared" si="20"/>
        <v>8905.5300000000007</v>
      </c>
      <c r="V17" s="81"/>
      <c r="W17" s="81">
        <v>0</v>
      </c>
      <c r="X17" s="81"/>
      <c r="Y17" s="84">
        <f t="shared" si="21"/>
        <v>1166.5236240000002</v>
      </c>
      <c r="Z17" s="81">
        <f t="shared" si="1"/>
        <v>1166.52</v>
      </c>
      <c r="AA17" s="85">
        <f t="shared" si="22"/>
        <v>0</v>
      </c>
      <c r="AB17" s="85">
        <f t="shared" si="23"/>
        <v>7739.01</v>
      </c>
      <c r="AC17" s="86" t="e">
        <f>#REF!</f>
        <v>#REF!</v>
      </c>
      <c r="AD17" s="73"/>
      <c r="AE17" s="40">
        <v>9</v>
      </c>
      <c r="AG17" s="91"/>
    </row>
    <row r="18" spans="1:33" s="40" customFormat="1" ht="1.5" customHeight="1">
      <c r="A18" s="105"/>
      <c r="B18" s="71">
        <v>1</v>
      </c>
      <c r="C18" s="71">
        <v>1</v>
      </c>
      <c r="D18" s="64"/>
      <c r="E18" s="102" t="s">
        <v>473</v>
      </c>
      <c r="F18" s="102" t="s">
        <v>474</v>
      </c>
      <c r="G18" s="66"/>
      <c r="H18" s="103" t="s">
        <v>384</v>
      </c>
      <c r="I18" s="72">
        <v>0</v>
      </c>
      <c r="J18" s="72" t="s">
        <v>272</v>
      </c>
      <c r="K18" s="72"/>
      <c r="L18" s="73">
        <v>0</v>
      </c>
      <c r="M18" s="74">
        <v>0</v>
      </c>
      <c r="N18" s="80">
        <v>172.16</v>
      </c>
      <c r="O18" s="81">
        <f>TRUNC(N18*I18,2)</f>
        <v>0</v>
      </c>
      <c r="P18" s="82">
        <f t="shared" si="15"/>
        <v>0</v>
      </c>
      <c r="Q18" s="81">
        <f t="shared" si="16"/>
        <v>0</v>
      </c>
      <c r="R18" s="83">
        <f t="shared" si="17"/>
        <v>0</v>
      </c>
      <c r="S18" s="81">
        <f t="shared" si="18"/>
        <v>0</v>
      </c>
      <c r="T18" s="81">
        <f t="shared" si="19"/>
        <v>0</v>
      </c>
      <c r="U18" s="81">
        <f t="shared" si="20"/>
        <v>0</v>
      </c>
      <c r="V18" s="81"/>
      <c r="W18" s="81"/>
      <c r="X18" s="81">
        <v>0</v>
      </c>
      <c r="Y18" s="84"/>
      <c r="Z18" s="81">
        <v>0</v>
      </c>
      <c r="AA18" s="85">
        <v>0</v>
      </c>
      <c r="AB18" s="85">
        <f t="shared" si="23"/>
        <v>0</v>
      </c>
      <c r="AC18" s="86" t="e">
        <f>#REF!</f>
        <v>#REF!</v>
      </c>
      <c r="AD18" s="73"/>
      <c r="AE18" s="40">
        <v>2658.44</v>
      </c>
      <c r="AG18" s="91"/>
    </row>
    <row r="19" spans="1:33" s="40" customFormat="1" ht="12.75">
      <c r="A19" s="105"/>
      <c r="B19" s="180"/>
      <c r="C19" s="180"/>
      <c r="D19" s="61" t="s">
        <v>17</v>
      </c>
      <c r="E19" s="43"/>
      <c r="F19" s="43"/>
      <c r="G19" s="44"/>
      <c r="H19" s="96"/>
      <c r="I19" s="51"/>
      <c r="J19" s="51"/>
      <c r="K19" s="51"/>
      <c r="L19" s="52"/>
      <c r="M19" s="53"/>
      <c r="N19" s="97"/>
      <c r="O19" s="98">
        <f>SUM(O9:O18)</f>
        <v>72207</v>
      </c>
      <c r="P19" s="98">
        <f t="shared" ref="P19:AD19" si="24">SUM(P9:P18)</f>
        <v>2888.28</v>
      </c>
      <c r="Q19" s="98">
        <f t="shared" si="24"/>
        <v>5054.49</v>
      </c>
      <c r="R19" s="98">
        <f t="shared" si="24"/>
        <v>0</v>
      </c>
      <c r="S19" s="98">
        <f t="shared" si="24"/>
        <v>7942.7699999999986</v>
      </c>
      <c r="T19" s="98">
        <f t="shared" si="24"/>
        <v>72207</v>
      </c>
      <c r="U19" s="98">
        <f t="shared" si="24"/>
        <v>80149.77</v>
      </c>
      <c r="V19" s="98">
        <f t="shared" si="24"/>
        <v>0</v>
      </c>
      <c r="W19" s="98">
        <f t="shared" si="24"/>
        <v>0</v>
      </c>
      <c r="X19" s="98">
        <f t="shared" si="24"/>
        <v>0</v>
      </c>
      <c r="Y19" s="98">
        <f t="shared" si="24"/>
        <v>10498.712616000001</v>
      </c>
      <c r="Z19" s="98">
        <f t="shared" si="24"/>
        <v>10498.680000000002</v>
      </c>
      <c r="AA19" s="98">
        <f t="shared" si="24"/>
        <v>0</v>
      </c>
      <c r="AB19" s="98">
        <f t="shared" si="24"/>
        <v>69651.090000000011</v>
      </c>
      <c r="AC19" s="98" t="e">
        <f t="shared" si="24"/>
        <v>#REF!</v>
      </c>
      <c r="AD19" s="98">
        <f t="shared" si="24"/>
        <v>0</v>
      </c>
    </row>
    <row r="20" spans="1:33" s="40" customFormat="1">
      <c r="A20" s="105"/>
      <c r="B20" s="180"/>
      <c r="C20" s="180"/>
      <c r="D20" s="127"/>
      <c r="E20" s="43"/>
      <c r="F20" s="43"/>
      <c r="G20" s="44"/>
      <c r="H20" s="96"/>
      <c r="I20" s="51"/>
      <c r="J20" s="51"/>
      <c r="K20" s="51"/>
      <c r="L20" s="52"/>
      <c r="M20" s="53"/>
      <c r="N20" s="97"/>
      <c r="O20" s="88"/>
      <c r="P20" s="181"/>
      <c r="Q20" s="88"/>
      <c r="R20" s="146"/>
      <c r="S20" s="88"/>
      <c r="T20" s="88"/>
      <c r="U20" s="88"/>
      <c r="V20" s="88"/>
      <c r="W20" s="88"/>
      <c r="X20" s="88"/>
      <c r="Y20" s="91"/>
      <c r="Z20" s="88"/>
      <c r="AA20" s="182"/>
      <c r="AB20" s="182"/>
      <c r="AC20" s="99"/>
      <c r="AD20" s="52"/>
    </row>
    <row r="21" spans="1:33" s="40" customFormat="1" ht="12.75">
      <c r="A21" s="105"/>
      <c r="B21" s="180"/>
      <c r="C21" s="180"/>
      <c r="D21" s="95" t="s">
        <v>22</v>
      </c>
      <c r="E21" s="43"/>
      <c r="F21" s="43"/>
      <c r="G21" s="44"/>
      <c r="H21" s="96"/>
      <c r="I21" s="51"/>
      <c r="J21" s="51"/>
      <c r="K21" s="51"/>
      <c r="L21" s="52"/>
      <c r="M21" s="53"/>
      <c r="N21" s="97"/>
      <c r="O21" s="88"/>
      <c r="P21" s="181"/>
      <c r="Q21" s="88"/>
      <c r="R21" s="146"/>
      <c r="S21" s="88"/>
      <c r="T21" s="88"/>
      <c r="U21" s="88"/>
      <c r="V21" s="88"/>
      <c r="W21" s="88"/>
      <c r="X21" s="88"/>
      <c r="Y21" s="91"/>
      <c r="Z21" s="88"/>
      <c r="AA21" s="182"/>
      <c r="AB21" s="182"/>
      <c r="AC21" s="99"/>
      <c r="AD21" s="52"/>
    </row>
    <row r="22" spans="1:33" s="40" customFormat="1" ht="36" customHeight="1">
      <c r="A22" s="105"/>
      <c r="B22" s="71"/>
      <c r="C22" s="71"/>
      <c r="D22" s="64" t="s">
        <v>578</v>
      </c>
      <c r="E22" s="65"/>
      <c r="F22" s="65"/>
      <c r="G22" s="66"/>
      <c r="H22" s="103" t="s">
        <v>20</v>
      </c>
      <c r="I22" s="72">
        <v>15</v>
      </c>
      <c r="J22" s="72" t="s">
        <v>272</v>
      </c>
      <c r="K22" s="72"/>
      <c r="L22" s="73">
        <v>0</v>
      </c>
      <c r="M22" s="74">
        <v>0</v>
      </c>
      <c r="N22" s="80">
        <f>14227/15</f>
        <v>948.4666666666667</v>
      </c>
      <c r="O22" s="81">
        <f>TRUNC(N22*I22,2)</f>
        <v>14227</v>
      </c>
      <c r="P22" s="82">
        <f>TRUNC(N22*I22*0.04,2)</f>
        <v>569.08000000000004</v>
      </c>
      <c r="Q22" s="81">
        <f>TRUNC(N22*0.07*I22,2)</f>
        <v>995.89</v>
      </c>
      <c r="R22" s="83">
        <f>L22</f>
        <v>0</v>
      </c>
      <c r="S22" s="81">
        <f>TRUNC(Q22+P22+(IF(R22&gt;519,519,R22))+IF(K22=0,0,K22*N22),2)</f>
        <v>1564.97</v>
      </c>
      <c r="T22" s="81">
        <f>TRUNC((IF(K22=0,I22*N22,(I22-K22)*N22))+(IF(R22&lt;519,0,R22-519)),2)+M22</f>
        <v>14227</v>
      </c>
      <c r="U22" s="81">
        <f>S22+T22</f>
        <v>15791.97</v>
      </c>
      <c r="V22" s="81"/>
      <c r="W22" s="81"/>
      <c r="X22" s="81">
        <v>0</v>
      </c>
      <c r="Y22" s="84">
        <f>IF(N22&gt;0.01,(T22-VLOOKUP(T22,quincenal,1))*VLOOKUP(T22,quincenal,3)+VLOOKUP(T22,quincenal,2)-VLOOKUP(T22,subquincenal,2),0)</f>
        <v>2577.5026080000002</v>
      </c>
      <c r="Z22" s="81">
        <f>TRUNC(IF(Y22&gt;0.01,Y22,0),2)</f>
        <v>2577.5</v>
      </c>
      <c r="AA22" s="85">
        <f>TRUNC(IF(Y22&lt;0.01,-Y22,0),2)</f>
        <v>0</v>
      </c>
      <c r="AB22" s="85">
        <f>U22-W22-X22-Z22+AA22</f>
        <v>13214.47</v>
      </c>
      <c r="AC22" s="86"/>
      <c r="AD22" s="73"/>
      <c r="AE22" s="40">
        <v>10</v>
      </c>
      <c r="AG22" s="91"/>
    </row>
    <row r="23" spans="1:33" s="40" customFormat="1" ht="36" customHeight="1">
      <c r="A23" s="105"/>
      <c r="B23" s="71"/>
      <c r="C23" s="71"/>
      <c r="D23" s="125" t="s">
        <v>590</v>
      </c>
      <c r="E23" s="102" t="s">
        <v>475</v>
      </c>
      <c r="F23" s="102" t="s">
        <v>476</v>
      </c>
      <c r="G23" s="66"/>
      <c r="H23" s="103" t="s">
        <v>579</v>
      </c>
      <c r="I23" s="72">
        <v>15</v>
      </c>
      <c r="J23" s="72" t="s">
        <v>272</v>
      </c>
      <c r="K23" s="72"/>
      <c r="L23" s="73">
        <v>0</v>
      </c>
      <c r="M23" s="74">
        <v>0</v>
      </c>
      <c r="N23" s="80">
        <v>405.53410000000002</v>
      </c>
      <c r="O23" s="81">
        <f>TRUNC(N23*I23,2)</f>
        <v>6083.01</v>
      </c>
      <c r="P23" s="82">
        <f>TRUNC(N23*I23*0.04,2)</f>
        <v>243.32</v>
      </c>
      <c r="Q23" s="81">
        <f>TRUNC(N23*0.07*I23,2)</f>
        <v>425.81</v>
      </c>
      <c r="R23" s="83">
        <f>L23</f>
        <v>0</v>
      </c>
      <c r="S23" s="81">
        <f>TRUNC(Q23+P23+(IF(R23&gt;519,519,R23))+IF(K23=0,0,K23*N23),2)</f>
        <v>669.13</v>
      </c>
      <c r="T23" s="81">
        <f>TRUNC((IF(K23=0,I23*N23,(I23-K23)*N23))+(IF(R23&lt;519,0,R23-519)),2)+M23</f>
        <v>6083.01</v>
      </c>
      <c r="U23" s="81">
        <f>S23+T23</f>
        <v>6752.14</v>
      </c>
      <c r="V23" s="81"/>
      <c r="W23" s="81"/>
      <c r="X23" s="81">
        <v>0</v>
      </c>
      <c r="Y23" s="84">
        <f>IF(N23&gt;0.01,(T23-VLOOKUP(T23,quincenal,1))*VLOOKUP(T23,quincenal,3)+VLOOKUP(T23,quincenal,2)-VLOOKUP(T23,subquincenal,2),0)</f>
        <v>752.1417600000002</v>
      </c>
      <c r="Z23" s="81">
        <f>TRUNC(IF(Y23&gt;0.01,Y23,0),2)</f>
        <v>752.14</v>
      </c>
      <c r="AA23" s="85">
        <f>TRUNC(IF(Y23&lt;0.01,-Y23,0),2)</f>
        <v>0</v>
      </c>
      <c r="AB23" s="85">
        <f>U23-W23-X23-Z23+AA23</f>
        <v>6000</v>
      </c>
      <c r="AC23" s="86"/>
      <c r="AD23" s="73"/>
      <c r="AE23" s="40">
        <v>11</v>
      </c>
      <c r="AG23" s="91"/>
    </row>
    <row r="24" spans="1:33" s="40" customFormat="1" ht="36" customHeight="1">
      <c r="A24" s="105"/>
      <c r="B24" s="71"/>
      <c r="C24" s="71"/>
      <c r="D24" s="125" t="s">
        <v>289</v>
      </c>
      <c r="E24" s="102" t="s">
        <v>475</v>
      </c>
      <c r="F24" s="102" t="s">
        <v>476</v>
      </c>
      <c r="G24" s="66"/>
      <c r="H24" s="107" t="s">
        <v>19</v>
      </c>
      <c r="I24" s="72">
        <v>15</v>
      </c>
      <c r="J24" s="72" t="s">
        <v>272</v>
      </c>
      <c r="K24" s="72"/>
      <c r="L24" s="73">
        <v>0</v>
      </c>
      <c r="M24" s="74">
        <v>0</v>
      </c>
      <c r="N24" s="80">
        <v>260.28699999999998</v>
      </c>
      <c r="O24" s="81">
        <f>TRUNC(N24*I24,2)</f>
        <v>3904.3</v>
      </c>
      <c r="P24" s="82">
        <f>TRUNC(N24*I24*0.04,2)</f>
        <v>156.16999999999999</v>
      </c>
      <c r="Q24" s="81">
        <f>TRUNC(N24*0.07*I24,2)</f>
        <v>273.3</v>
      </c>
      <c r="R24" s="83">
        <f>L24</f>
        <v>0</v>
      </c>
      <c r="S24" s="81">
        <f>TRUNC(Q24+P24+(IF(R24&gt;519,519,R24))+IF(K24=0,0,K24*N24),2)</f>
        <v>429.47</v>
      </c>
      <c r="T24" s="81">
        <f>TRUNC((IF(K24=0,I24*N24,(I24-K24)*N24))+(IF(R24&lt;519,0,R24-519)),2)+M24</f>
        <v>3904.3</v>
      </c>
      <c r="U24" s="81">
        <f>S24+T24</f>
        <v>4333.7700000000004</v>
      </c>
      <c r="V24" s="81"/>
      <c r="W24" s="81"/>
      <c r="X24" s="81">
        <v>0</v>
      </c>
      <c r="Y24" s="84">
        <f>IF(N24&gt;0.01,(T24-VLOOKUP(T24,quincenal,1))*VLOOKUP(T24,quincenal,3)+VLOOKUP(T24,quincenal,2)-VLOOKUP(T24,subquincenal,2),0)</f>
        <v>333.77639999999997</v>
      </c>
      <c r="Z24" s="81">
        <f>TRUNC(IF(Y24&gt;0.01,Y24,0),2)</f>
        <v>333.77</v>
      </c>
      <c r="AA24" s="85">
        <f>TRUNC(IF(Y24&lt;0.01,-Y24,0),2)</f>
        <v>0</v>
      </c>
      <c r="AB24" s="85">
        <f>U24-W24-X24-Z24+AA24</f>
        <v>4000.0000000000005</v>
      </c>
      <c r="AC24" s="86" t="e">
        <f>#REF!</f>
        <v>#REF!</v>
      </c>
      <c r="AD24" s="73"/>
      <c r="AE24" s="40">
        <v>12</v>
      </c>
      <c r="AG24" s="91"/>
    </row>
    <row r="25" spans="1:33" s="40" customFormat="1" ht="36" customHeight="1">
      <c r="A25" s="105">
        <v>11</v>
      </c>
      <c r="B25" s="71">
        <v>1</v>
      </c>
      <c r="C25" s="71">
        <v>2</v>
      </c>
      <c r="D25" s="125" t="s">
        <v>273</v>
      </c>
      <c r="E25" s="102" t="s">
        <v>475</v>
      </c>
      <c r="F25" s="102" t="s">
        <v>476</v>
      </c>
      <c r="G25" s="66"/>
      <c r="H25" s="103" t="s">
        <v>23</v>
      </c>
      <c r="I25" s="132">
        <v>15</v>
      </c>
      <c r="J25" s="132" t="s">
        <v>272</v>
      </c>
      <c r="K25" s="132"/>
      <c r="L25" s="138">
        <v>0</v>
      </c>
      <c r="M25" s="139">
        <v>0</v>
      </c>
      <c r="N25" s="80">
        <f>3349/15</f>
        <v>223.26666666666668</v>
      </c>
      <c r="O25" s="83">
        <f>TRUNC(N25*I25,2)</f>
        <v>3349</v>
      </c>
      <c r="P25" s="141">
        <f>TRUNC(N25*I25*0.04,2)</f>
        <v>133.96</v>
      </c>
      <c r="Q25" s="83">
        <f>TRUNC(N25*0.07*I25,2)</f>
        <v>234.43</v>
      </c>
      <c r="R25" s="83">
        <f>L25</f>
        <v>0</v>
      </c>
      <c r="S25" s="83">
        <f>TRUNC(Q25+P25+(IF(R25&gt;519,519,R25))+IF(K25=0,0,K25*N25),2)</f>
        <v>368.39</v>
      </c>
      <c r="T25" s="83">
        <f>TRUNC((IF(K25=0,I25*N25,(I25-K25)*N25))+(IF(R25&lt;519,0,R25-519)),2)+M25</f>
        <v>3349</v>
      </c>
      <c r="U25" s="83">
        <f>S25+T25</f>
        <v>3717.39</v>
      </c>
      <c r="V25" s="83"/>
      <c r="W25" s="83"/>
      <c r="X25" s="83">
        <v>0</v>
      </c>
      <c r="Y25" s="84">
        <f>IF(N25&gt;0.01,(T25-VLOOKUP(T25,quincenal,1))*VLOOKUP(T25,quincenal,3)+VLOOKUP(T25,quincenal,2)-VLOOKUP(T25,subquincenal,2),0)</f>
        <v>135.18811199999996</v>
      </c>
      <c r="Z25" s="83">
        <f>TRUNC(IF(Y25&gt;0.01,Y25,0),2)</f>
        <v>135.18</v>
      </c>
      <c r="AA25" s="142">
        <f>TRUNC(IF(Y25&lt;0.01,-Y25,0),2)</f>
        <v>0</v>
      </c>
      <c r="AB25" s="142">
        <f>U25-W25-X25-Z25+AA25</f>
        <v>3582.21</v>
      </c>
      <c r="AC25" s="143">
        <f>[2]PORTADA!$D$10</f>
        <v>1</v>
      </c>
      <c r="AD25" s="138"/>
      <c r="AE25" s="40">
        <v>13</v>
      </c>
      <c r="AG25" s="91"/>
    </row>
    <row r="26" spans="1:33" s="40" customFormat="1" ht="12.75">
      <c r="A26" s="105"/>
      <c r="B26" s="180"/>
      <c r="C26" s="180"/>
      <c r="D26" s="95" t="s">
        <v>22</v>
      </c>
      <c r="E26" s="43"/>
      <c r="F26" s="43"/>
      <c r="G26" s="44"/>
      <c r="H26" s="96"/>
      <c r="I26" s="51"/>
      <c r="J26" s="51"/>
      <c r="K26" s="51"/>
      <c r="L26" s="52"/>
      <c r="M26" s="53"/>
      <c r="N26" s="97"/>
      <c r="O26" s="98">
        <f>SUM(O22:O25)</f>
        <v>27563.31</v>
      </c>
      <c r="P26" s="98">
        <f t="shared" ref="P26:AB26" si="25">SUM(P22:P25)</f>
        <v>1102.53</v>
      </c>
      <c r="Q26" s="98">
        <f t="shared" si="25"/>
        <v>1929.43</v>
      </c>
      <c r="R26" s="98">
        <f t="shared" si="25"/>
        <v>0</v>
      </c>
      <c r="S26" s="98">
        <f t="shared" si="25"/>
        <v>3031.9599999999996</v>
      </c>
      <c r="T26" s="98">
        <f t="shared" si="25"/>
        <v>27563.31</v>
      </c>
      <c r="U26" s="98">
        <f t="shared" si="25"/>
        <v>30595.27</v>
      </c>
      <c r="V26" s="98">
        <f t="shared" si="25"/>
        <v>0</v>
      </c>
      <c r="W26" s="98">
        <f t="shared" si="25"/>
        <v>0</v>
      </c>
      <c r="X26" s="98">
        <f t="shared" si="25"/>
        <v>0</v>
      </c>
      <c r="Y26" s="98">
        <f t="shared" si="25"/>
        <v>3798.6088799999998</v>
      </c>
      <c r="Z26" s="98">
        <f t="shared" si="25"/>
        <v>3798.5899999999997</v>
      </c>
      <c r="AA26" s="98">
        <f t="shared" si="25"/>
        <v>0</v>
      </c>
      <c r="AB26" s="98">
        <f t="shared" si="25"/>
        <v>26796.68</v>
      </c>
      <c r="AC26" s="99"/>
      <c r="AD26" s="52"/>
    </row>
    <row r="27" spans="1:33" s="40" customFormat="1">
      <c r="A27" s="105"/>
      <c r="B27" s="180"/>
      <c r="C27" s="180"/>
      <c r="D27" s="127"/>
      <c r="E27" s="43"/>
      <c r="F27" s="43"/>
      <c r="G27" s="44"/>
      <c r="H27" s="96"/>
      <c r="I27" s="51"/>
      <c r="J27" s="51"/>
      <c r="K27" s="51"/>
      <c r="L27" s="52"/>
      <c r="M27" s="53"/>
      <c r="N27" s="97"/>
      <c r="O27" s="88"/>
      <c r="P27" s="181"/>
      <c r="Q27" s="88"/>
      <c r="R27" s="146"/>
      <c r="S27" s="88"/>
      <c r="T27" s="88"/>
      <c r="U27" s="88"/>
      <c r="V27" s="88"/>
      <c r="W27" s="88"/>
      <c r="X27" s="88"/>
      <c r="Y27" s="91"/>
      <c r="Z27" s="88"/>
      <c r="AA27" s="182"/>
      <c r="AB27" s="182"/>
      <c r="AC27" s="99"/>
      <c r="AD27" s="52"/>
    </row>
    <row r="28" spans="1:33" s="40" customFormat="1" ht="12.75">
      <c r="A28" s="105"/>
      <c r="B28" s="180"/>
      <c r="C28" s="180"/>
      <c r="D28" s="95" t="s">
        <v>26</v>
      </c>
      <c r="E28" s="43"/>
      <c r="F28" s="43"/>
      <c r="G28" s="44"/>
      <c r="H28" s="96"/>
      <c r="I28" s="51"/>
      <c r="J28" s="51"/>
      <c r="K28" s="51"/>
      <c r="L28" s="52"/>
      <c r="M28" s="53"/>
      <c r="N28" s="97"/>
      <c r="O28" s="88"/>
      <c r="P28" s="181"/>
      <c r="Q28" s="88"/>
      <c r="R28" s="146"/>
      <c r="S28" s="88"/>
      <c r="T28" s="88"/>
      <c r="U28" s="88"/>
      <c r="V28" s="88"/>
      <c r="W28" s="88"/>
      <c r="X28" s="88"/>
      <c r="Y28" s="91"/>
      <c r="Z28" s="88"/>
      <c r="AA28" s="182"/>
      <c r="AB28" s="182"/>
      <c r="AC28" s="99"/>
      <c r="AD28" s="52"/>
    </row>
    <row r="29" spans="1:33" s="40" customFormat="1" ht="36" customHeight="1">
      <c r="A29" s="105">
        <v>13</v>
      </c>
      <c r="B29" s="71">
        <v>1</v>
      </c>
      <c r="C29" s="71">
        <v>5</v>
      </c>
      <c r="D29" s="64" t="s">
        <v>581</v>
      </c>
      <c r="E29" s="65"/>
      <c r="F29" s="65"/>
      <c r="G29" s="66"/>
      <c r="H29" s="183" t="s">
        <v>24</v>
      </c>
      <c r="I29" s="72">
        <v>15</v>
      </c>
      <c r="J29" s="72" t="s">
        <v>272</v>
      </c>
      <c r="K29" s="72"/>
      <c r="L29" s="73">
        <v>0</v>
      </c>
      <c r="M29" s="74">
        <v>0</v>
      </c>
      <c r="N29" s="80">
        <f>10307/15</f>
        <v>687.13333333333333</v>
      </c>
      <c r="O29" s="81">
        <f>TRUNC(N29*I29,2)</f>
        <v>10307</v>
      </c>
      <c r="P29" s="82">
        <f>TRUNC(N29*I29*0.04,2)</f>
        <v>412.28</v>
      </c>
      <c r="Q29" s="81">
        <f>TRUNC(N29*0.07*I29,2)</f>
        <v>721.49</v>
      </c>
      <c r="R29" s="83">
        <f>L29</f>
        <v>0</v>
      </c>
      <c r="S29" s="81">
        <f>TRUNC(Q29+P29+(IF(R29&gt;519,519,R29))+IF(K29=0,0,K29*N29),2)</f>
        <v>1133.77</v>
      </c>
      <c r="T29" s="81">
        <f>TRUNC((IF(K29=0,I29*N29,(I29-K29)*N29))+(IF(R29&lt;519,0,R29-519)),2)+M29</f>
        <v>10307</v>
      </c>
      <c r="U29" s="81">
        <f>S29+T29</f>
        <v>11440.77</v>
      </c>
      <c r="V29" s="81"/>
      <c r="W29" s="81">
        <v>0</v>
      </c>
      <c r="X29" s="81">
        <v>0</v>
      </c>
      <c r="Y29" s="84">
        <f>IF(N29&gt;0.01,(T29-VLOOKUP(T29,quincenal,1))*VLOOKUP(T29,quincenal,3)+VLOOKUP(T29,quincenal,2)-VLOOKUP(T29,subquincenal,2),0)</f>
        <v>1655.5186080000003</v>
      </c>
      <c r="Z29" s="81">
        <f>TRUNC(IF(Y29&gt;0.01,Y29,0),2)</f>
        <v>1655.51</v>
      </c>
      <c r="AA29" s="85">
        <f>TRUNC(IF(Y29&lt;0.01,-Y29,0),2)</f>
        <v>0</v>
      </c>
      <c r="AB29" s="85">
        <f>U29-W29-X29-Z29+AA29</f>
        <v>9785.26</v>
      </c>
      <c r="AC29" s="86" t="e">
        <f>#REF!</f>
        <v>#REF!</v>
      </c>
      <c r="AD29" s="73"/>
      <c r="AE29" s="40">
        <v>14</v>
      </c>
      <c r="AG29" s="91"/>
    </row>
    <row r="30" spans="1:33" s="40" customFormat="1" ht="36" customHeight="1">
      <c r="A30" s="105">
        <v>14</v>
      </c>
      <c r="B30" s="71">
        <v>1</v>
      </c>
      <c r="C30" s="71">
        <v>1</v>
      </c>
      <c r="D30" s="64" t="s">
        <v>582</v>
      </c>
      <c r="E30" s="150"/>
      <c r="F30" s="150"/>
      <c r="G30" s="66">
        <v>41183</v>
      </c>
      <c r="H30" s="133" t="s">
        <v>546</v>
      </c>
      <c r="I30" s="72">
        <v>15</v>
      </c>
      <c r="J30" s="72" t="s">
        <v>272</v>
      </c>
      <c r="K30" s="72"/>
      <c r="L30" s="73">
        <v>0</v>
      </c>
      <c r="M30" s="74">
        <v>0</v>
      </c>
      <c r="N30" s="80">
        <v>617.49400000000003</v>
      </c>
      <c r="O30" s="81">
        <f>TRUNC(N30*I30,2)</f>
        <v>9262.41</v>
      </c>
      <c r="P30" s="82">
        <f>TRUNC(N30*I30*0.04,2)</f>
        <v>370.49</v>
      </c>
      <c r="Q30" s="81">
        <f>TRUNC(N30*0.07*I30,2)</f>
        <v>648.36</v>
      </c>
      <c r="R30" s="83">
        <f>L30</f>
        <v>0</v>
      </c>
      <c r="S30" s="81">
        <f>TRUNC(Q30+P30+(IF(R30&gt;519,519,R30))+IF(K30=0,0,K30*N30),2)</f>
        <v>1018.85</v>
      </c>
      <c r="T30" s="81">
        <f>TRUNC((IF(K30=0,I30*N30,(I30-K30)*N30))+(IF(R30&lt;519,0,R30-519)),2)+M30</f>
        <v>9262.41</v>
      </c>
      <c r="U30" s="81">
        <f>S30+T30</f>
        <v>10281.26</v>
      </c>
      <c r="V30" s="81"/>
      <c r="W30" s="81"/>
      <c r="X30" s="81">
        <v>0</v>
      </c>
      <c r="Y30" s="84">
        <f>IF(N30&gt;0.01,(T30-VLOOKUP(T30,quincenal,1))*VLOOKUP(T30,quincenal,3)+VLOOKUP(T30,quincenal,2)-VLOOKUP(T30,subquincenal,2),0)</f>
        <v>1431.2616</v>
      </c>
      <c r="Z30" s="81">
        <f>TRUNC(IF(Y30&gt;0.01,Y30,0),2)</f>
        <v>1431.26</v>
      </c>
      <c r="AA30" s="85">
        <f>TRUNC(IF(Y30&lt;0.01,-Y30,0),2)</f>
        <v>0</v>
      </c>
      <c r="AB30" s="85">
        <f>U30-W30-X30-Z30+AA30</f>
        <v>8850</v>
      </c>
      <c r="AC30" s="86"/>
      <c r="AD30" s="73"/>
      <c r="AE30" s="40">
        <v>15</v>
      </c>
      <c r="AG30" s="91"/>
    </row>
    <row r="31" spans="1:33" s="40" customFormat="1" ht="36" customHeight="1">
      <c r="A31" s="105">
        <v>15</v>
      </c>
      <c r="B31" s="71"/>
      <c r="C31" s="71"/>
      <c r="D31" s="64" t="s">
        <v>623</v>
      </c>
      <c r="E31" s="65"/>
      <c r="F31" s="65"/>
      <c r="G31" s="184"/>
      <c r="H31" s="107" t="s">
        <v>622</v>
      </c>
      <c r="I31" s="185">
        <v>15</v>
      </c>
      <c r="J31" s="72" t="s">
        <v>272</v>
      </c>
      <c r="K31" s="72"/>
      <c r="L31" s="73">
        <v>0</v>
      </c>
      <c r="M31" s="74">
        <v>0</v>
      </c>
      <c r="N31" s="80">
        <v>183.15199999999999</v>
      </c>
      <c r="O31" s="81">
        <f>TRUNC(N31*I31,2)</f>
        <v>2747.28</v>
      </c>
      <c r="P31" s="82">
        <f>TRUNC(N31*I31*0.04,2)</f>
        <v>109.89</v>
      </c>
      <c r="Q31" s="81">
        <f>TRUNC(N31*0.07*I31,2)</f>
        <v>192.3</v>
      </c>
      <c r="R31" s="83">
        <f>L31</f>
        <v>0</v>
      </c>
      <c r="S31" s="81">
        <f>TRUNC(Q31+P31+(IF(R31&gt;519,519,R31))+IF(K31=0,0,K31*N31),2)</f>
        <v>302.19</v>
      </c>
      <c r="T31" s="81">
        <f>TRUNC((IF(K31=0,I31*N31,(I31-K31)*N31))+(IF(R31&lt;519,0,R31-519)),2)+M31</f>
        <v>2747.28</v>
      </c>
      <c r="U31" s="81">
        <f>S31+T31</f>
        <v>3049.4700000000003</v>
      </c>
      <c r="V31" s="81"/>
      <c r="W31" s="81"/>
      <c r="X31" s="81">
        <v>0</v>
      </c>
      <c r="Y31" s="84">
        <f>IF(N31&gt;0.01,(T31-VLOOKUP(T31,quincenal,1))*VLOOKUP(T31,quincenal,3)+VLOOKUP(T31,quincenal,2)-VLOOKUP(T31,subquincenal,2),0)</f>
        <v>49.470976000000007</v>
      </c>
      <c r="Z31" s="81">
        <f>TRUNC(IF(Y31&gt;0.01,Y31,0),2)</f>
        <v>49.47</v>
      </c>
      <c r="AA31" s="85">
        <f>TRUNC(IF(Y31&lt;0.01,-Y31,0),2)</f>
        <v>0</v>
      </c>
      <c r="AB31" s="85">
        <f>U31-W31-X31-Z31+AA31</f>
        <v>3000.0000000000005</v>
      </c>
      <c r="AC31" s="86"/>
      <c r="AD31" s="73"/>
      <c r="AE31" s="40">
        <v>16</v>
      </c>
      <c r="AG31" s="91"/>
    </row>
    <row r="32" spans="1:33" s="40" customFormat="1" ht="36" customHeight="1">
      <c r="A32" s="105">
        <v>16</v>
      </c>
      <c r="B32" s="71"/>
      <c r="C32" s="71"/>
      <c r="D32" s="64" t="s">
        <v>657</v>
      </c>
      <c r="E32" s="65"/>
      <c r="F32" s="65"/>
      <c r="G32" s="66"/>
      <c r="H32" s="133" t="s">
        <v>30</v>
      </c>
      <c r="I32" s="72">
        <v>15</v>
      </c>
      <c r="J32" s="72" t="s">
        <v>272</v>
      </c>
      <c r="K32" s="72"/>
      <c r="L32" s="73">
        <v>0</v>
      </c>
      <c r="M32" s="74">
        <v>0</v>
      </c>
      <c r="N32" s="80">
        <v>183.15199999999999</v>
      </c>
      <c r="O32" s="81">
        <f>TRUNC(N32*I32,2)</f>
        <v>2747.28</v>
      </c>
      <c r="P32" s="82">
        <f>TRUNC(N32*I32*0.04,2)</f>
        <v>109.89</v>
      </c>
      <c r="Q32" s="81">
        <f>TRUNC(N32*0.07*I32,2)</f>
        <v>192.3</v>
      </c>
      <c r="R32" s="83">
        <f>L32</f>
        <v>0</v>
      </c>
      <c r="S32" s="81">
        <f>TRUNC(Q32+P32+(IF(R32&gt;519,519,R32))+IF(K32=0,0,K32*N32),2)</f>
        <v>302.19</v>
      </c>
      <c r="T32" s="81">
        <f>TRUNC((IF(K32=0,I32*N32,(I32-K32)*N32))+(IF(R32&lt;519,0,R32-519)),2)+M32</f>
        <v>2747.28</v>
      </c>
      <c r="U32" s="81">
        <f>S32+T32</f>
        <v>3049.4700000000003</v>
      </c>
      <c r="V32" s="81"/>
      <c r="W32" s="81"/>
      <c r="X32" s="81">
        <v>0</v>
      </c>
      <c r="Y32" s="84">
        <f>IF(N32&gt;0.01,(T32-VLOOKUP(T32,quincenal,1))*VLOOKUP(T32,quincenal,3)+VLOOKUP(T32,quincenal,2)-VLOOKUP(T32,subquincenal,2),0)</f>
        <v>49.470976000000007</v>
      </c>
      <c r="Z32" s="81">
        <f>TRUNC(IF(Y32&gt;0.01,Y32,0),2)</f>
        <v>49.47</v>
      </c>
      <c r="AA32" s="85">
        <f>TRUNC(IF(Y32&lt;0.01,-Y32,0),2)</f>
        <v>0</v>
      </c>
      <c r="AB32" s="85">
        <f>U32-W32-X32-Z32+AA32</f>
        <v>3000.0000000000005</v>
      </c>
      <c r="AC32" s="86" t="e">
        <f>#REF!</f>
        <v>#REF!</v>
      </c>
      <c r="AD32" s="73"/>
      <c r="AE32" s="40">
        <v>17</v>
      </c>
      <c r="AG32" s="91"/>
    </row>
    <row r="33" spans="1:33" s="40" customFormat="1" ht="12.75">
      <c r="A33" s="105"/>
      <c r="B33" s="180"/>
      <c r="C33" s="180"/>
      <c r="D33" s="95" t="s">
        <v>26</v>
      </c>
      <c r="E33" s="43"/>
      <c r="F33" s="43"/>
      <c r="G33" s="44"/>
      <c r="H33" s="96"/>
      <c r="I33" s="51"/>
      <c r="J33" s="51"/>
      <c r="K33" s="51"/>
      <c r="L33" s="52"/>
      <c r="M33" s="53"/>
      <c r="N33" s="97"/>
      <c r="O33" s="98">
        <f t="shared" ref="O33:AB33" si="26">SUM(O29:O32)</f>
        <v>25063.969999999998</v>
      </c>
      <c r="P33" s="98">
        <f t="shared" si="26"/>
        <v>1002.55</v>
      </c>
      <c r="Q33" s="98">
        <f t="shared" si="26"/>
        <v>1754.4499999999998</v>
      </c>
      <c r="R33" s="98">
        <f t="shared" si="26"/>
        <v>0</v>
      </c>
      <c r="S33" s="98">
        <f t="shared" si="26"/>
        <v>2757</v>
      </c>
      <c r="T33" s="98">
        <f t="shared" si="26"/>
        <v>25063.969999999998</v>
      </c>
      <c r="U33" s="98">
        <f t="shared" si="26"/>
        <v>27820.97</v>
      </c>
      <c r="V33" s="98">
        <f t="shared" si="26"/>
        <v>0</v>
      </c>
      <c r="W33" s="98">
        <f t="shared" si="26"/>
        <v>0</v>
      </c>
      <c r="X33" s="98">
        <f t="shared" si="26"/>
        <v>0</v>
      </c>
      <c r="Y33" s="98">
        <f>SUM(Y29:Y32)</f>
        <v>3185.7221600000003</v>
      </c>
      <c r="Z33" s="98">
        <f t="shared" si="26"/>
        <v>3185.7099999999996</v>
      </c>
      <c r="AA33" s="98">
        <f t="shared" si="26"/>
        <v>0</v>
      </c>
      <c r="AB33" s="98">
        <f t="shared" si="26"/>
        <v>24635.260000000002</v>
      </c>
      <c r="AC33" s="99"/>
      <c r="AD33" s="52"/>
    </row>
    <row r="34" spans="1:33" s="40" customFormat="1">
      <c r="A34" s="105"/>
      <c r="B34" s="180"/>
      <c r="C34" s="180"/>
      <c r="D34" s="127"/>
      <c r="E34" s="43"/>
      <c r="F34" s="43"/>
      <c r="G34" s="44"/>
      <c r="H34" s="96"/>
      <c r="I34" s="51"/>
      <c r="J34" s="51"/>
      <c r="K34" s="51"/>
      <c r="L34" s="52"/>
      <c r="M34" s="53"/>
      <c r="N34" s="97"/>
      <c r="O34" s="88"/>
      <c r="P34" s="181"/>
      <c r="Q34" s="88"/>
      <c r="R34" s="146"/>
      <c r="S34" s="88"/>
      <c r="T34" s="88"/>
      <c r="U34" s="88"/>
      <c r="V34" s="88"/>
      <c r="W34" s="88"/>
      <c r="X34" s="88"/>
      <c r="Y34" s="91"/>
      <c r="Z34" s="88"/>
      <c r="AA34" s="182"/>
      <c r="AB34" s="182"/>
      <c r="AC34" s="99"/>
      <c r="AD34" s="52"/>
    </row>
    <row r="35" spans="1:33" s="40" customFormat="1" ht="12.75">
      <c r="A35" s="105"/>
      <c r="B35" s="180"/>
      <c r="C35" s="180"/>
      <c r="D35" s="95" t="s">
        <v>292</v>
      </c>
      <c r="E35" s="43"/>
      <c r="F35" s="43"/>
      <c r="G35" s="44"/>
      <c r="H35" s="96"/>
      <c r="I35" s="51"/>
      <c r="J35" s="51"/>
      <c r="K35" s="51"/>
      <c r="L35" s="52"/>
      <c r="M35" s="53"/>
      <c r="N35" s="97"/>
      <c r="O35" s="88"/>
      <c r="P35" s="181"/>
      <c r="Q35" s="88"/>
      <c r="R35" s="146"/>
      <c r="S35" s="88"/>
      <c r="T35" s="88"/>
      <c r="U35" s="88"/>
      <c r="V35" s="88"/>
      <c r="W35" s="88"/>
      <c r="X35" s="88"/>
      <c r="Y35" s="91"/>
      <c r="Z35" s="88"/>
      <c r="AA35" s="182"/>
      <c r="AB35" s="182"/>
      <c r="AC35" s="99"/>
      <c r="AD35" s="52"/>
    </row>
    <row r="36" spans="1:33" s="40" customFormat="1" ht="36" customHeight="1">
      <c r="A36" s="105"/>
      <c r="B36" s="71"/>
      <c r="C36" s="71"/>
      <c r="D36" s="64" t="s">
        <v>583</v>
      </c>
      <c r="E36" s="147"/>
      <c r="F36" s="147"/>
      <c r="G36" s="66"/>
      <c r="H36" s="133" t="s">
        <v>28</v>
      </c>
      <c r="I36" s="72">
        <v>15</v>
      </c>
      <c r="J36" s="72" t="s">
        <v>272</v>
      </c>
      <c r="K36" s="72"/>
      <c r="L36" s="73">
        <v>0</v>
      </c>
      <c r="M36" s="74">
        <v>0</v>
      </c>
      <c r="N36" s="186">
        <v>491.06200000000001</v>
      </c>
      <c r="O36" s="81">
        <f t="shared" ref="O36" si="27">TRUNC(N36*I36,2)</f>
        <v>7365.93</v>
      </c>
      <c r="P36" s="82">
        <f t="shared" ref="P36" si="28">TRUNC(N36*I36*0.04,2)</f>
        <v>294.63</v>
      </c>
      <c r="Q36" s="81">
        <f t="shared" ref="Q36" si="29">TRUNC(N36*0.07*I36,2)</f>
        <v>515.61</v>
      </c>
      <c r="R36" s="187">
        <f t="shared" ref="R36:R37" si="30">L36</f>
        <v>0</v>
      </c>
      <c r="S36" s="81">
        <f t="shared" ref="S36" si="31">TRUNC(Q36+P36+(IF(R36&gt;519,519,R36))+IF(K36=0,0,K36*N36),2)</f>
        <v>810.24</v>
      </c>
      <c r="T36" s="81">
        <f t="shared" ref="T36" si="32">TRUNC((IF(K36=0,I36*N36,(I36-K36)*N36))+(IF(R36&lt;519,0,R36-519)),2)+M36</f>
        <v>7365.93</v>
      </c>
      <c r="U36" s="81">
        <f t="shared" ref="U36:U37" si="33">S36+T36</f>
        <v>8176.17</v>
      </c>
      <c r="V36" s="81"/>
      <c r="W36" s="81"/>
      <c r="X36" s="81">
        <v>0</v>
      </c>
      <c r="Y36" s="84">
        <f t="shared" ref="Y36" si="34">IF(N36&gt;0.01,(T36-VLOOKUP(T36,quincenal,1))*VLOOKUP(T36,quincenal,3)+VLOOKUP(T36,quincenal,2)-VLOOKUP(T36,subquincenal,2),0)</f>
        <v>1026.1734720000002</v>
      </c>
      <c r="Z36" s="81">
        <f t="shared" ref="Z36:Z37" si="35">TRUNC(IF(Y36&gt;0.01,Y36,0),2)</f>
        <v>1026.17</v>
      </c>
      <c r="AA36" s="85">
        <f t="shared" ref="AA36:AA37" si="36">TRUNC(IF(Y36&lt;0.01,-Y36,0),2)</f>
        <v>0</v>
      </c>
      <c r="AB36" s="85">
        <f t="shared" ref="AB36:AB37" si="37">U36-W36-X36-Z36+AA36</f>
        <v>7150</v>
      </c>
      <c r="AC36" s="86"/>
      <c r="AD36" s="73"/>
      <c r="AE36" s="40">
        <v>18</v>
      </c>
      <c r="AG36" s="91"/>
    </row>
    <row r="37" spans="1:33" s="40" customFormat="1" ht="36" customHeight="1">
      <c r="A37" s="105"/>
      <c r="B37" s="71"/>
      <c r="C37" s="71"/>
      <c r="D37" s="64" t="s">
        <v>275</v>
      </c>
      <c r="E37" s="102" t="s">
        <v>477</v>
      </c>
      <c r="F37" s="102" t="s">
        <v>478</v>
      </c>
      <c r="G37" s="66"/>
      <c r="H37" s="107" t="s">
        <v>19</v>
      </c>
      <c r="I37" s="132">
        <v>15</v>
      </c>
      <c r="J37" s="132" t="s">
        <v>272</v>
      </c>
      <c r="K37" s="132"/>
      <c r="L37" s="138">
        <v>0</v>
      </c>
      <c r="M37" s="139">
        <v>0</v>
      </c>
      <c r="N37" s="80">
        <f>3056/15</f>
        <v>203.73333333333332</v>
      </c>
      <c r="O37" s="83">
        <f>TRUNC(N37*I37,2)</f>
        <v>3056</v>
      </c>
      <c r="P37" s="141">
        <f>TRUNC(N37*I37*0.04,2)</f>
        <v>122.24</v>
      </c>
      <c r="Q37" s="83">
        <f>TRUNC(N37*0.07*I37,2)</f>
        <v>213.92</v>
      </c>
      <c r="R37" s="83">
        <f t="shared" si="30"/>
        <v>0</v>
      </c>
      <c r="S37" s="83">
        <f>TRUNC(Q37+P37+(IF(R37&gt;519,519,R37))+IF(K37=0,0,K37*N37),2)</f>
        <v>336.16</v>
      </c>
      <c r="T37" s="83">
        <f>TRUNC((IF(K37=0,I37*N37,(I37-K37)*N37))+(IF(R37&lt;519,0,R37-519)),2)+M37</f>
        <v>3056</v>
      </c>
      <c r="U37" s="83">
        <f t="shared" si="33"/>
        <v>3392.16</v>
      </c>
      <c r="V37" s="83"/>
      <c r="W37" s="83">
        <v>0</v>
      </c>
      <c r="X37" s="83">
        <v>0</v>
      </c>
      <c r="Y37" s="84">
        <f t="shared" ref="Y37" si="38">IF(N37&gt;0.01,(T37-VLOOKUP(T37,quincenal,1))*VLOOKUP(T37,quincenal,3)+VLOOKUP(T37,quincenal,2)-VLOOKUP(T37,subquincenal,2),0)</f>
        <v>83.059711999999962</v>
      </c>
      <c r="Z37" s="83">
        <f t="shared" si="35"/>
        <v>83.05</v>
      </c>
      <c r="AA37" s="142">
        <f t="shared" si="36"/>
        <v>0</v>
      </c>
      <c r="AB37" s="142">
        <f t="shared" si="37"/>
        <v>3309.1099999999997</v>
      </c>
      <c r="AC37" s="143">
        <f>[2]PORTADA!$D$10</f>
        <v>1</v>
      </c>
      <c r="AD37" s="138"/>
      <c r="AE37" s="40">
        <v>19</v>
      </c>
      <c r="AG37" s="91"/>
    </row>
    <row r="38" spans="1:33" s="40" customFormat="1" ht="36" customHeight="1">
      <c r="A38" s="105">
        <v>20</v>
      </c>
      <c r="B38" s="71"/>
      <c r="C38" s="71"/>
      <c r="D38" s="126" t="s">
        <v>640</v>
      </c>
      <c r="E38" s="150" t="s">
        <v>386</v>
      </c>
      <c r="F38" s="65"/>
      <c r="G38" s="66"/>
      <c r="H38" s="103" t="s">
        <v>641</v>
      </c>
      <c r="I38" s="72">
        <v>15</v>
      </c>
      <c r="J38" s="72" t="s">
        <v>272</v>
      </c>
      <c r="K38" s="72"/>
      <c r="L38" s="73">
        <v>0</v>
      </c>
      <c r="M38" s="74">
        <v>0</v>
      </c>
      <c r="N38" s="80">
        <v>113.977</v>
      </c>
      <c r="O38" s="81">
        <f t="shared" ref="O38" si="39">TRUNC(N38*I38,2)</f>
        <v>1709.65</v>
      </c>
      <c r="P38" s="82">
        <f t="shared" ref="P38" si="40">TRUNC(N38*I38*0.04,2)</f>
        <v>68.38</v>
      </c>
      <c r="Q38" s="81">
        <f t="shared" ref="Q38" si="41">TRUNC(N38*0.07*I38,2)</f>
        <v>119.67</v>
      </c>
      <c r="R38" s="83">
        <f t="shared" ref="R38" si="42">L38</f>
        <v>0</v>
      </c>
      <c r="S38" s="81">
        <f t="shared" ref="S38" si="43">TRUNC(Q38+P38+(IF(R38&gt;519,519,R38))+IF(K38=0,0,K38*N38),2)</f>
        <v>188.05</v>
      </c>
      <c r="T38" s="81">
        <f t="shared" ref="T38" si="44">TRUNC((IF(K38=0,I38*N38,(I38-K38)*N38))+(IF(R38&lt;519,0,R38-519)),2)+M38</f>
        <v>1709.65</v>
      </c>
      <c r="U38" s="81">
        <f t="shared" ref="U38" si="45">S38+T38</f>
        <v>1897.7</v>
      </c>
      <c r="V38" s="81"/>
      <c r="W38" s="81"/>
      <c r="X38" s="83">
        <v>0</v>
      </c>
      <c r="Y38" s="84">
        <f t="shared" ref="Y38" si="46">IF(N38&gt;0.01,(T38-VLOOKUP(T38,quincenal,1))*VLOOKUP(T38,quincenal,3)+VLOOKUP(T38,quincenal,2)-VLOOKUP(T38,subquincenal,2),0)</f>
        <v>-102.30023999999997</v>
      </c>
      <c r="Z38" s="83">
        <f t="shared" ref="Z38" si="47">TRUNC(IF(Y38&gt;0.01,Y38,0),2)</f>
        <v>0</v>
      </c>
      <c r="AA38" s="142">
        <f t="shared" ref="AA38" si="48">TRUNC(IF(Y38&lt;0.01,-Y38,0),2)</f>
        <v>102.3</v>
      </c>
      <c r="AB38" s="142">
        <f t="shared" ref="AB38" si="49">U38-W38-X38-Z38+AA38</f>
        <v>2000</v>
      </c>
      <c r="AC38" s="86" t="e">
        <f>#REF!</f>
        <v>#REF!</v>
      </c>
      <c r="AD38" s="73"/>
      <c r="AE38" s="40">
        <v>20</v>
      </c>
      <c r="AG38" s="91"/>
    </row>
    <row r="39" spans="1:33" s="40" customFormat="1" ht="36" customHeight="1">
      <c r="A39" s="105">
        <v>22</v>
      </c>
      <c r="B39" s="188"/>
      <c r="C39" s="188"/>
      <c r="D39" s="64" t="s">
        <v>592</v>
      </c>
      <c r="E39" s="65"/>
      <c r="F39" s="65"/>
      <c r="G39" s="66"/>
      <c r="H39" s="107" t="s">
        <v>27</v>
      </c>
      <c r="I39" s="72">
        <v>15</v>
      </c>
      <c r="J39" s="72" t="s">
        <v>272</v>
      </c>
      <c r="K39" s="72"/>
      <c r="L39" s="73">
        <v>0</v>
      </c>
      <c r="M39" s="74">
        <v>0</v>
      </c>
      <c r="N39" s="80">
        <v>113.977</v>
      </c>
      <c r="O39" s="81">
        <f t="shared" ref="O39" si="50">TRUNC(N39*I39,2)</f>
        <v>1709.65</v>
      </c>
      <c r="P39" s="82">
        <f t="shared" ref="P39" si="51">TRUNC(N39*I39*0.04,2)</f>
        <v>68.38</v>
      </c>
      <c r="Q39" s="81">
        <f t="shared" ref="Q39" si="52">TRUNC(N39*0.07*I39,2)</f>
        <v>119.67</v>
      </c>
      <c r="R39" s="83">
        <f t="shared" ref="R39" si="53">L39</f>
        <v>0</v>
      </c>
      <c r="S39" s="81">
        <f t="shared" ref="S39" si="54">TRUNC(Q39+P39+(IF(R39&gt;519,519,R39))+IF(K39=0,0,K39*N39),2)</f>
        <v>188.05</v>
      </c>
      <c r="T39" s="81">
        <f t="shared" ref="T39" si="55">TRUNC((IF(K39=0,I39*N39,(I39-K39)*N39))+(IF(R39&lt;519,0,R39-519)),2)+M39</f>
        <v>1709.65</v>
      </c>
      <c r="U39" s="81">
        <f t="shared" ref="U39" si="56">S39+T39</f>
        <v>1897.7</v>
      </c>
      <c r="V39" s="81"/>
      <c r="W39" s="81"/>
      <c r="X39" s="83">
        <v>0</v>
      </c>
      <c r="Y39" s="84">
        <f t="shared" ref="Y39" si="57">IF(N39&gt;0.01,(T39-VLOOKUP(T39,quincenal,1))*VLOOKUP(T39,quincenal,3)+VLOOKUP(T39,quincenal,2)-VLOOKUP(T39,subquincenal,2),0)</f>
        <v>-102.30023999999997</v>
      </c>
      <c r="Z39" s="83">
        <f t="shared" ref="Z39" si="58">TRUNC(IF(Y39&gt;0.01,Y39,0),2)</f>
        <v>0</v>
      </c>
      <c r="AA39" s="142">
        <f t="shared" ref="AA39" si="59">TRUNC(IF(Y39&lt;0.01,-Y39,0),2)</f>
        <v>102.3</v>
      </c>
      <c r="AB39" s="142">
        <f t="shared" ref="AB39" si="60">U39-W39-X39-Z39+AA39</f>
        <v>2000</v>
      </c>
      <c r="AC39" s="86" t="e">
        <f>#REF!</f>
        <v>#REF!</v>
      </c>
      <c r="AD39" s="73"/>
      <c r="AE39" s="40">
        <v>21</v>
      </c>
      <c r="AG39" s="91"/>
    </row>
    <row r="40" spans="1:33" s="40" customFormat="1" ht="12.75">
      <c r="A40" s="105"/>
      <c r="B40" s="180"/>
      <c r="C40" s="180"/>
      <c r="D40" s="95" t="s">
        <v>292</v>
      </c>
      <c r="E40" s="43"/>
      <c r="F40" s="43"/>
      <c r="G40" s="44"/>
      <c r="H40" s="96"/>
      <c r="I40" s="51"/>
      <c r="J40" s="51"/>
      <c r="K40" s="51"/>
      <c r="L40" s="52"/>
      <c r="M40" s="53"/>
      <c r="N40" s="97"/>
      <c r="O40" s="98">
        <f t="shared" ref="O40:AB40" si="61">SUM(O36:O39)</f>
        <v>13841.23</v>
      </c>
      <c r="P40" s="98">
        <f t="shared" si="61"/>
        <v>553.63</v>
      </c>
      <c r="Q40" s="98">
        <f t="shared" si="61"/>
        <v>968.86999999999989</v>
      </c>
      <c r="R40" s="98">
        <f t="shared" si="61"/>
        <v>0</v>
      </c>
      <c r="S40" s="98">
        <f t="shared" si="61"/>
        <v>1522.5</v>
      </c>
      <c r="T40" s="98">
        <f t="shared" si="61"/>
        <v>13841.23</v>
      </c>
      <c r="U40" s="98">
        <f t="shared" si="61"/>
        <v>15363.730000000001</v>
      </c>
      <c r="V40" s="98">
        <f t="shared" si="61"/>
        <v>0</v>
      </c>
      <c r="W40" s="98">
        <f t="shared" si="61"/>
        <v>0</v>
      </c>
      <c r="X40" s="98">
        <f t="shared" si="61"/>
        <v>0</v>
      </c>
      <c r="Y40" s="98">
        <f t="shared" si="61"/>
        <v>904.6327040000001</v>
      </c>
      <c r="Z40" s="98">
        <f t="shared" si="61"/>
        <v>1109.22</v>
      </c>
      <c r="AA40" s="98">
        <f t="shared" si="61"/>
        <v>204.6</v>
      </c>
      <c r="AB40" s="98">
        <f t="shared" si="61"/>
        <v>14459.11</v>
      </c>
      <c r="AC40" s="99"/>
      <c r="AD40" s="52"/>
    </row>
    <row r="41" spans="1:33" s="40" customFormat="1">
      <c r="A41" s="105"/>
      <c r="B41" s="180"/>
      <c r="C41" s="180"/>
      <c r="D41" s="127"/>
      <c r="E41" s="43"/>
      <c r="F41" s="43"/>
      <c r="G41" s="44"/>
      <c r="H41" s="96"/>
      <c r="I41" s="51"/>
      <c r="J41" s="51"/>
      <c r="K41" s="51"/>
      <c r="L41" s="52"/>
      <c r="M41" s="53"/>
      <c r="N41" s="97"/>
      <c r="O41" s="88"/>
      <c r="P41" s="181"/>
      <c r="Q41" s="88"/>
      <c r="R41" s="146"/>
      <c r="S41" s="88"/>
      <c r="T41" s="88"/>
      <c r="U41" s="88"/>
      <c r="V41" s="88"/>
      <c r="W41" s="88"/>
      <c r="X41" s="88"/>
      <c r="Y41" s="91"/>
      <c r="Z41" s="88"/>
      <c r="AA41" s="182"/>
      <c r="AB41" s="182"/>
      <c r="AC41" s="99"/>
      <c r="AD41" s="52"/>
    </row>
    <row r="42" spans="1:33" s="40" customFormat="1" ht="12.75">
      <c r="A42" s="105"/>
      <c r="B42" s="180"/>
      <c r="C42" s="180"/>
      <c r="D42" s="95" t="s">
        <v>32</v>
      </c>
      <c r="E42" s="43"/>
      <c r="F42" s="43"/>
      <c r="G42" s="44"/>
      <c r="H42" s="96"/>
      <c r="I42" s="51"/>
      <c r="J42" s="51"/>
      <c r="K42" s="51"/>
      <c r="L42" s="52"/>
      <c r="M42" s="53"/>
      <c r="N42" s="97"/>
      <c r="O42" s="88"/>
      <c r="P42" s="181"/>
      <c r="Q42" s="88"/>
      <c r="R42" s="146"/>
      <c r="S42" s="88"/>
      <c r="T42" s="88"/>
      <c r="U42" s="88"/>
      <c r="V42" s="88"/>
      <c r="W42" s="88"/>
      <c r="X42" s="88"/>
      <c r="Y42" s="91"/>
      <c r="Z42" s="88"/>
      <c r="AA42" s="182"/>
      <c r="AB42" s="182"/>
      <c r="AC42" s="99"/>
      <c r="AD42" s="52"/>
    </row>
    <row r="43" spans="1:33" s="40" customFormat="1" ht="36" customHeight="1">
      <c r="A43" s="105">
        <v>23</v>
      </c>
      <c r="B43" s="179">
        <v>1</v>
      </c>
      <c r="C43" s="71">
        <v>7</v>
      </c>
      <c r="D43" s="64" t="s">
        <v>711</v>
      </c>
      <c r="E43" s="65"/>
      <c r="F43" s="65"/>
      <c r="G43" s="66"/>
      <c r="H43" s="107" t="s">
        <v>252</v>
      </c>
      <c r="I43" s="132">
        <v>15</v>
      </c>
      <c r="J43" s="132" t="s">
        <v>272</v>
      </c>
      <c r="K43" s="132"/>
      <c r="L43" s="138">
        <v>0</v>
      </c>
      <c r="M43" s="139">
        <v>0</v>
      </c>
      <c r="N43" s="80">
        <v>665.83500000000004</v>
      </c>
      <c r="O43" s="83">
        <f>TRUNC(N43*I43,2)</f>
        <v>9987.52</v>
      </c>
      <c r="P43" s="141">
        <f>TRUNC(N43*I43*0.04,2)</f>
        <v>399.5</v>
      </c>
      <c r="Q43" s="83">
        <f>TRUNC(N43*0.07*I43,2)</f>
        <v>699.12</v>
      </c>
      <c r="R43" s="83">
        <f>L43</f>
        <v>0</v>
      </c>
      <c r="S43" s="83">
        <f>TRUNC(Q43+P43+(IF(R43&gt;519,519,R43))+IF(K43=0,0,K43*N43),2)</f>
        <v>1098.6199999999999</v>
      </c>
      <c r="T43" s="83">
        <f>TRUNC((IF(K43=0,I43*N43,(I43-K43)*N43))+(IF(R43&lt;519,0,R43-519)),2)+M43</f>
        <v>9987.52</v>
      </c>
      <c r="U43" s="83">
        <f>S43+T43</f>
        <v>11086.14</v>
      </c>
      <c r="V43" s="83"/>
      <c r="W43" s="83"/>
      <c r="X43" s="83">
        <v>0</v>
      </c>
      <c r="Y43" s="84">
        <f>IF(N43&gt;0.01,(T43-VLOOKUP(T43,quincenal,1))*VLOOKUP(T43,quincenal,3)+VLOOKUP(T43,quincenal,2)-VLOOKUP(T43,subquincenal,2),0)</f>
        <v>1586.1450960000002</v>
      </c>
      <c r="Z43" s="83">
        <f>TRUNC(IF(Y43&gt;0.01,Y43,0),2)</f>
        <v>1586.14</v>
      </c>
      <c r="AA43" s="142">
        <f>TRUNC(IF(Y43&lt;0.01,-Y43,0),2)</f>
        <v>0</v>
      </c>
      <c r="AB43" s="142">
        <f>U43-W43-X43-Z43+AA43</f>
        <v>9500</v>
      </c>
      <c r="AC43" s="143">
        <f>[2]PORTADA!$D$10</f>
        <v>1</v>
      </c>
      <c r="AD43" s="138"/>
      <c r="AE43" s="40">
        <v>22</v>
      </c>
      <c r="AG43" s="91"/>
    </row>
    <row r="44" spans="1:33" s="40" customFormat="1" ht="36" customHeight="1">
      <c r="A44" s="105">
        <v>24</v>
      </c>
      <c r="B44" s="179"/>
      <c r="C44" s="71"/>
      <c r="D44" s="64" t="s">
        <v>545</v>
      </c>
      <c r="E44" s="65"/>
      <c r="F44" s="65"/>
      <c r="G44" s="184"/>
      <c r="H44" s="107" t="s">
        <v>379</v>
      </c>
      <c r="I44" s="185">
        <v>15</v>
      </c>
      <c r="J44" s="189" t="s">
        <v>272</v>
      </c>
      <c r="K44" s="190"/>
      <c r="L44" s="190">
        <v>0</v>
      </c>
      <c r="M44" s="190">
        <v>0</v>
      </c>
      <c r="N44" s="151">
        <f>3896/15</f>
        <v>259.73333333333335</v>
      </c>
      <c r="O44" s="83">
        <f>TRUNC(N44*I44,2)</f>
        <v>3896</v>
      </c>
      <c r="P44" s="141">
        <f>TRUNC(N44*I44*0.04,2)</f>
        <v>155.84</v>
      </c>
      <c r="Q44" s="83">
        <f>TRUNC(N44*0.07*I44,2)</f>
        <v>272.72000000000003</v>
      </c>
      <c r="R44" s="83">
        <f>L44</f>
        <v>0</v>
      </c>
      <c r="S44" s="83">
        <f>TRUNC(Q44+P44+(IF(R44&gt;519,519,R44))+IF(K44=0,0,K44*N44),2)</f>
        <v>428.56</v>
      </c>
      <c r="T44" s="83">
        <f>TRUNC((IF(K44=0,I44*N44,(I44-K44)*N44))+(IF(R44&lt;519,0,R44-519)),2)+M44</f>
        <v>3896</v>
      </c>
      <c r="U44" s="83">
        <f>S44+T44</f>
        <v>4324.5600000000004</v>
      </c>
      <c r="V44" s="83"/>
      <c r="W44" s="83"/>
      <c r="X44" s="83">
        <v>0</v>
      </c>
      <c r="Y44" s="84">
        <f>IF(N44&gt;0.01,(T44-VLOOKUP(T44,quincenal,1))*VLOOKUP(T44,quincenal,3)+VLOOKUP(T44,quincenal,2)-VLOOKUP(T44,subquincenal,2),0)</f>
        <v>332.44839999999999</v>
      </c>
      <c r="Z44" s="83">
        <f>TRUNC(IF(Y44&gt;0.01,Y44,0),2)</f>
        <v>332.44</v>
      </c>
      <c r="AA44" s="142">
        <f>TRUNC(IF(Y44&lt;0.01,-Y44,0),2)</f>
        <v>0</v>
      </c>
      <c r="AB44" s="142">
        <f>U44-W44-X44-Z44+AA44</f>
        <v>3992.1200000000003</v>
      </c>
      <c r="AC44" s="143"/>
      <c r="AD44" s="138"/>
      <c r="AE44" s="40">
        <v>23</v>
      </c>
      <c r="AG44" s="91"/>
    </row>
    <row r="45" spans="1:33" s="40" customFormat="1" ht="36" customHeight="1">
      <c r="A45" s="105"/>
      <c r="B45" s="179"/>
      <c r="C45" s="71"/>
      <c r="D45" s="64" t="s">
        <v>591</v>
      </c>
      <c r="E45" s="100" t="s">
        <v>479</v>
      </c>
      <c r="F45" s="100" t="s">
        <v>480</v>
      </c>
      <c r="G45" s="66"/>
      <c r="H45" s="107" t="s">
        <v>665</v>
      </c>
      <c r="I45" s="72">
        <v>15</v>
      </c>
      <c r="J45" s="72" t="s">
        <v>272</v>
      </c>
      <c r="K45" s="72"/>
      <c r="L45" s="73">
        <v>0</v>
      </c>
      <c r="M45" s="74">
        <v>0</v>
      </c>
      <c r="N45" s="80">
        <f>4612/15</f>
        <v>307.46666666666664</v>
      </c>
      <c r="O45" s="81">
        <f>TRUNC(N45*I45,2)</f>
        <v>4612</v>
      </c>
      <c r="P45" s="82">
        <f>TRUNC(N45*I45*0.04,2)</f>
        <v>184.48</v>
      </c>
      <c r="Q45" s="81">
        <f>TRUNC(N45*0.07*I45,2)</f>
        <v>322.83999999999997</v>
      </c>
      <c r="R45" s="83">
        <f>L45</f>
        <v>0</v>
      </c>
      <c r="S45" s="81">
        <f>TRUNC(Q45+P45+(IF(R45&gt;519,519,R45))+IF(K45=0,0,K45*N45),2)</f>
        <v>507.32</v>
      </c>
      <c r="T45" s="81">
        <f>TRUNC((IF(K45=0,I45*N45,(I45-K45)*N45))+(IF(R45&lt;519,0,R45-519)),2)+M45</f>
        <v>4612</v>
      </c>
      <c r="U45" s="81">
        <f>S45+T45</f>
        <v>5119.32</v>
      </c>
      <c r="V45" s="81"/>
      <c r="W45" s="81"/>
      <c r="X45" s="81">
        <v>0</v>
      </c>
      <c r="Y45" s="84">
        <f>IF(N45&gt;0.01,(T45-VLOOKUP(T45,quincenal,1))*VLOOKUP(T45,quincenal,3)+VLOOKUP(T45,quincenal,2)-VLOOKUP(T45,subquincenal,2),0)</f>
        <v>453.97588800000005</v>
      </c>
      <c r="Z45" s="81">
        <f>TRUNC(IF(Y45&gt;0.01,Y45,0),2)</f>
        <v>453.97</v>
      </c>
      <c r="AA45" s="85">
        <f>TRUNC(IF(Y45&lt;0.01,-Y45,0),2)</f>
        <v>0</v>
      </c>
      <c r="AB45" s="85">
        <f>U45-W45-X45-Z45+AA45</f>
        <v>4665.3499999999995</v>
      </c>
      <c r="AC45" s="86"/>
      <c r="AD45" s="73"/>
      <c r="AE45" s="40">
        <v>24</v>
      </c>
      <c r="AG45" s="91"/>
    </row>
    <row r="46" spans="1:33" s="40" customFormat="1" ht="12.75">
      <c r="A46" s="105"/>
      <c r="B46" s="180"/>
      <c r="C46" s="180"/>
      <c r="D46" s="95" t="s">
        <v>32</v>
      </c>
      <c r="E46" s="43"/>
      <c r="F46" s="43"/>
      <c r="G46" s="44"/>
      <c r="H46" s="96"/>
      <c r="I46" s="51"/>
      <c r="J46" s="51"/>
      <c r="K46" s="51"/>
      <c r="L46" s="52"/>
      <c r="M46" s="53"/>
      <c r="N46" s="97"/>
      <c r="O46" s="98">
        <f t="shared" ref="O46:AB46" si="62">SUM(O43:O45)</f>
        <v>18495.52</v>
      </c>
      <c r="P46" s="98">
        <f t="shared" si="62"/>
        <v>739.82</v>
      </c>
      <c r="Q46" s="98">
        <f t="shared" si="62"/>
        <v>1294.68</v>
      </c>
      <c r="R46" s="98">
        <f t="shared" si="62"/>
        <v>0</v>
      </c>
      <c r="S46" s="98">
        <f t="shared" si="62"/>
        <v>2034.4999999999998</v>
      </c>
      <c r="T46" s="98">
        <f t="shared" si="62"/>
        <v>18495.52</v>
      </c>
      <c r="U46" s="98">
        <f t="shared" si="62"/>
        <v>20530.02</v>
      </c>
      <c r="V46" s="98">
        <f t="shared" si="62"/>
        <v>0</v>
      </c>
      <c r="W46" s="98">
        <f t="shared" si="62"/>
        <v>0</v>
      </c>
      <c r="X46" s="98">
        <f t="shared" si="62"/>
        <v>0</v>
      </c>
      <c r="Y46" s="98">
        <f t="shared" si="62"/>
        <v>2372.5693840000004</v>
      </c>
      <c r="Z46" s="98">
        <f t="shared" si="62"/>
        <v>2372.5500000000002</v>
      </c>
      <c r="AA46" s="98">
        <f t="shared" si="62"/>
        <v>0</v>
      </c>
      <c r="AB46" s="98">
        <f t="shared" si="62"/>
        <v>18157.47</v>
      </c>
      <c r="AC46" s="99"/>
      <c r="AD46" s="52"/>
    </row>
    <row r="47" spans="1:33" s="40" customFormat="1" ht="12.75">
      <c r="A47" s="105"/>
      <c r="B47" s="180"/>
      <c r="C47" s="180"/>
      <c r="D47" s="95"/>
      <c r="E47" s="43"/>
      <c r="F47" s="43"/>
      <c r="G47" s="44"/>
      <c r="H47" s="96"/>
      <c r="I47" s="51"/>
      <c r="J47" s="51"/>
      <c r="K47" s="51"/>
      <c r="L47" s="52"/>
      <c r="M47" s="53"/>
      <c r="N47" s="97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52"/>
    </row>
    <row r="48" spans="1:33" s="40" customFormat="1" ht="12.75">
      <c r="A48" s="105"/>
      <c r="B48" s="180"/>
      <c r="C48" s="180"/>
      <c r="D48" s="95" t="s">
        <v>584</v>
      </c>
      <c r="E48" s="43"/>
      <c r="F48" s="43"/>
      <c r="G48" s="44"/>
      <c r="H48" s="96"/>
      <c r="I48" s="51"/>
      <c r="J48" s="51"/>
      <c r="K48" s="51"/>
      <c r="L48" s="52"/>
      <c r="M48" s="53"/>
      <c r="N48" s="97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9"/>
      <c r="AD48" s="52"/>
    </row>
    <row r="49" spans="1:33" s="40" customFormat="1" ht="36" customHeight="1">
      <c r="A49" s="105"/>
      <c r="B49" s="180"/>
      <c r="C49" s="180"/>
      <c r="D49" s="64" t="s">
        <v>585</v>
      </c>
      <c r="E49" s="147" t="s">
        <v>190</v>
      </c>
      <c r="F49" s="147" t="s">
        <v>225</v>
      </c>
      <c r="G49" s="148">
        <v>39090</v>
      </c>
      <c r="H49" s="103" t="s">
        <v>649</v>
      </c>
      <c r="I49" s="72">
        <v>15</v>
      </c>
      <c r="J49" s="72" t="s">
        <v>272</v>
      </c>
      <c r="K49" s="72"/>
      <c r="L49" s="73">
        <v>0</v>
      </c>
      <c r="M49" s="74">
        <v>0</v>
      </c>
      <c r="N49" s="80">
        <v>405.53410000000002</v>
      </c>
      <c r="O49" s="81">
        <f>TRUNC(N49*I49,2)</f>
        <v>6083.01</v>
      </c>
      <c r="P49" s="82">
        <f>TRUNC(N49*I49*0.04,2)</f>
        <v>243.32</v>
      </c>
      <c r="Q49" s="81">
        <f>TRUNC(N49*0.07*I49,2)</f>
        <v>425.81</v>
      </c>
      <c r="R49" s="83">
        <f>L49</f>
        <v>0</v>
      </c>
      <c r="S49" s="81">
        <f>TRUNC(Q49+P49+(IF(R49&gt;519,519,R49))+IF(K49=0,0,K49*N49),2)</f>
        <v>669.13</v>
      </c>
      <c r="T49" s="81">
        <f>TRUNC((IF(K49=0,I49*N49,(I49-K49)*N49))+(IF(R49&lt;519,0,R49-519)),2)+M49</f>
        <v>6083.01</v>
      </c>
      <c r="U49" s="81">
        <f>S49+T49</f>
        <v>6752.14</v>
      </c>
      <c r="V49" s="81"/>
      <c r="W49" s="81"/>
      <c r="X49" s="81">
        <v>0</v>
      </c>
      <c r="Y49" s="84">
        <f>IF(N49&gt;0.01,(T49-VLOOKUP(T49,quincenal,1))*VLOOKUP(T49,quincenal,3)+VLOOKUP(T49,quincenal,2)-VLOOKUP(T49,subquincenal,2),0)</f>
        <v>752.1417600000002</v>
      </c>
      <c r="Z49" s="81">
        <f>TRUNC(IF(Y49&gt;0.01,Y49,0),2)</f>
        <v>752.14</v>
      </c>
      <c r="AA49" s="85">
        <f>TRUNC(IF(Y49&lt;0.01,-Y49,0),2)</f>
        <v>0</v>
      </c>
      <c r="AB49" s="85">
        <f>U49-W49-X49-Z49+AA49</f>
        <v>6000</v>
      </c>
      <c r="AC49" s="86" t="e">
        <f>#REF!</f>
        <v>#REF!</v>
      </c>
      <c r="AD49" s="73"/>
      <c r="AE49" s="40">
        <v>25</v>
      </c>
    </row>
    <row r="50" spans="1:33" s="40" customFormat="1" ht="36" customHeight="1">
      <c r="A50" s="105"/>
      <c r="B50" s="180"/>
      <c r="C50" s="180"/>
      <c r="D50" s="64" t="s">
        <v>647</v>
      </c>
      <c r="E50" s="147" t="s">
        <v>442</v>
      </c>
      <c r="F50" s="147" t="s">
        <v>443</v>
      </c>
      <c r="G50" s="66"/>
      <c r="H50" s="103" t="s">
        <v>648</v>
      </c>
      <c r="I50" s="72">
        <v>15</v>
      </c>
      <c r="J50" s="72" t="s">
        <v>272</v>
      </c>
      <c r="K50" s="72"/>
      <c r="L50" s="73">
        <v>0</v>
      </c>
      <c r="M50" s="74">
        <v>0</v>
      </c>
      <c r="N50" s="80">
        <v>217.7938</v>
      </c>
      <c r="O50" s="81">
        <f>TRUNC(N50*I50,2)</f>
        <v>3266.9</v>
      </c>
      <c r="P50" s="82">
        <f>TRUNC(N50*I50*0.04,2)</f>
        <v>130.66999999999999</v>
      </c>
      <c r="Q50" s="81">
        <f>TRUNC(N50*0.07*I50,2)</f>
        <v>228.68</v>
      </c>
      <c r="R50" s="83">
        <f>L50</f>
        <v>0</v>
      </c>
      <c r="S50" s="81">
        <f>TRUNC(Q50+P50+(IF(R50&gt;519,519,R50))+IF(K50=0,0,K50*N50),2)</f>
        <v>359.35</v>
      </c>
      <c r="T50" s="81">
        <f>TRUNC((IF(K50=0,I50*N50,(I50-K50)*N50))+(IF(R50&lt;519,0,R50-519)),2)+M50</f>
        <v>3266.9</v>
      </c>
      <c r="U50" s="81">
        <f>S50+T50</f>
        <v>3626.25</v>
      </c>
      <c r="V50" s="81"/>
      <c r="W50" s="81"/>
      <c r="X50" s="81">
        <v>0</v>
      </c>
      <c r="Y50" s="84">
        <f>IF(N50&gt;0.01,(T50-VLOOKUP(T50,quincenal,1))*VLOOKUP(T50,quincenal,3)+VLOOKUP(T50,quincenal,2)-VLOOKUP(T50,subquincenal,2),0)</f>
        <v>126.25563199999996</v>
      </c>
      <c r="Z50" s="81">
        <f>TRUNC(IF(Y50&gt;0.01,Y50,0),2)</f>
        <v>126.25</v>
      </c>
      <c r="AA50" s="85">
        <f>TRUNC(IF(Y50&lt;0.01,-Y50,0),2)</f>
        <v>0</v>
      </c>
      <c r="AB50" s="85">
        <f>U50-W50-X50-Z50+AA50</f>
        <v>3500</v>
      </c>
      <c r="AC50" s="86" t="e">
        <f>#REF!</f>
        <v>#REF!</v>
      </c>
      <c r="AD50" s="73"/>
      <c r="AE50" s="40">
        <v>26</v>
      </c>
    </row>
    <row r="51" spans="1:33" s="40" customFormat="1" ht="12.75">
      <c r="A51" s="105"/>
      <c r="B51" s="180"/>
      <c r="C51" s="180"/>
      <c r="D51" s="95" t="s">
        <v>584</v>
      </c>
      <c r="E51" s="43"/>
      <c r="F51" s="43"/>
      <c r="G51" s="44"/>
      <c r="H51" s="96"/>
      <c r="I51" s="51"/>
      <c r="J51" s="51"/>
      <c r="K51" s="51"/>
      <c r="L51" s="52"/>
      <c r="M51" s="53"/>
      <c r="N51" s="97"/>
      <c r="O51" s="90">
        <f>SUM(O49:O50)</f>
        <v>9349.91</v>
      </c>
      <c r="P51" s="90">
        <f t="shared" ref="P51:AB51" si="63">SUM(P49:P50)</f>
        <v>373.99</v>
      </c>
      <c r="Q51" s="90">
        <f t="shared" si="63"/>
        <v>654.49</v>
      </c>
      <c r="R51" s="88">
        <f t="shared" si="63"/>
        <v>0</v>
      </c>
      <c r="S51" s="88">
        <f t="shared" si="63"/>
        <v>1028.48</v>
      </c>
      <c r="T51" s="88">
        <f t="shared" si="63"/>
        <v>9349.91</v>
      </c>
      <c r="U51" s="88">
        <f t="shared" si="63"/>
        <v>10378.39</v>
      </c>
      <c r="V51" s="88">
        <f t="shared" si="63"/>
        <v>0</v>
      </c>
      <c r="W51" s="88">
        <f t="shared" si="63"/>
        <v>0</v>
      </c>
      <c r="X51" s="88">
        <f t="shared" si="63"/>
        <v>0</v>
      </c>
      <c r="Y51" s="88">
        <f t="shared" si="63"/>
        <v>878.3973920000002</v>
      </c>
      <c r="Z51" s="90">
        <f t="shared" si="63"/>
        <v>878.39</v>
      </c>
      <c r="AA51" s="90">
        <f t="shared" si="63"/>
        <v>0</v>
      </c>
      <c r="AB51" s="90">
        <f t="shared" si="63"/>
        <v>9500</v>
      </c>
      <c r="AC51" s="99"/>
      <c r="AD51" s="52"/>
    </row>
    <row r="52" spans="1:33" s="40" customFormat="1">
      <c r="A52" s="105"/>
      <c r="B52" s="180"/>
      <c r="C52" s="180"/>
      <c r="D52" s="127"/>
      <c r="E52" s="43"/>
      <c r="F52" s="43"/>
      <c r="G52" s="44"/>
      <c r="H52" s="96"/>
      <c r="I52" s="51"/>
      <c r="J52" s="51"/>
      <c r="K52" s="51"/>
      <c r="L52" s="52"/>
      <c r="M52" s="53"/>
      <c r="N52" s="97"/>
      <c r="O52" s="88"/>
      <c r="P52" s="181"/>
      <c r="Q52" s="88"/>
      <c r="R52" s="146"/>
      <c r="S52" s="88"/>
      <c r="T52" s="88"/>
      <c r="U52" s="88"/>
      <c r="V52" s="88"/>
      <c r="W52" s="88"/>
      <c r="X52" s="88"/>
      <c r="Y52" s="91"/>
      <c r="Z52" s="88"/>
      <c r="AA52" s="182"/>
      <c r="AB52" s="182"/>
      <c r="AC52" s="99"/>
      <c r="AD52" s="52"/>
    </row>
    <row r="53" spans="1:33" s="40" customFormat="1" ht="13.5" customHeight="1">
      <c r="A53" s="105"/>
      <c r="B53" s="180"/>
      <c r="C53" s="180"/>
      <c r="D53" s="95" t="s">
        <v>293</v>
      </c>
      <c r="E53" s="43"/>
      <c r="F53" s="43"/>
      <c r="G53" s="44"/>
      <c r="H53" s="96"/>
      <c r="I53" s="51"/>
      <c r="J53" s="51"/>
      <c r="K53" s="51"/>
      <c r="L53" s="52"/>
      <c r="M53" s="53"/>
      <c r="N53" s="97"/>
      <c r="O53" s="88"/>
      <c r="P53" s="181"/>
      <c r="Q53" s="88"/>
      <c r="R53" s="146"/>
      <c r="S53" s="88"/>
      <c r="T53" s="88"/>
      <c r="U53" s="88"/>
      <c r="V53" s="88"/>
      <c r="W53" s="88"/>
      <c r="X53" s="88"/>
      <c r="Y53" s="91"/>
      <c r="Z53" s="88"/>
      <c r="AA53" s="182"/>
      <c r="AB53" s="182"/>
      <c r="AC53" s="99"/>
      <c r="AD53" s="52"/>
    </row>
    <row r="54" spans="1:33" s="40" customFormat="1" ht="36" customHeight="1">
      <c r="A54" s="105"/>
      <c r="B54" s="180"/>
      <c r="C54" s="180"/>
      <c r="D54" s="64" t="s">
        <v>33</v>
      </c>
      <c r="E54" s="147" t="s">
        <v>190</v>
      </c>
      <c r="F54" s="147" t="s">
        <v>225</v>
      </c>
      <c r="G54" s="148">
        <v>39090</v>
      </c>
      <c r="H54" s="103" t="s">
        <v>34</v>
      </c>
      <c r="I54" s="132">
        <v>15</v>
      </c>
      <c r="J54" s="132" t="s">
        <v>272</v>
      </c>
      <c r="K54" s="132"/>
      <c r="L54" s="138">
        <v>0</v>
      </c>
      <c r="M54" s="139">
        <v>0</v>
      </c>
      <c r="N54" s="80">
        <f>4459/15</f>
        <v>297.26666666666665</v>
      </c>
      <c r="O54" s="83">
        <f>TRUNC(N54*I54,2)</f>
        <v>4459</v>
      </c>
      <c r="P54" s="141">
        <f>TRUNC(N54*I54*0.04,2)</f>
        <v>178.36</v>
      </c>
      <c r="Q54" s="83">
        <f>TRUNC(N54*0.07*I54,2)</f>
        <v>312.13</v>
      </c>
      <c r="R54" s="83">
        <f>L54</f>
        <v>0</v>
      </c>
      <c r="S54" s="83">
        <f>TRUNC(Q54+P54+(IF(R54&gt;519,519,R54))+IF(K54=0,0,K54*N54),2)</f>
        <v>490.49</v>
      </c>
      <c r="T54" s="83">
        <f>TRUNC((IF(K54=0,I54*N54,(I54-K54)*N54))+(IF(R54&lt;519,0,R54-519)),2)+M54</f>
        <v>4459</v>
      </c>
      <c r="U54" s="83">
        <f>S54+T54</f>
        <v>4949.49</v>
      </c>
      <c r="V54" s="83"/>
      <c r="W54" s="83"/>
      <c r="X54" s="83">
        <v>0</v>
      </c>
      <c r="Y54" s="84">
        <f>IF(N54&gt;0.01,(T54-VLOOKUP(T54,quincenal,1))*VLOOKUP(T54,quincenal,3)+VLOOKUP(T54,quincenal,2)-VLOOKUP(T54,subquincenal,2),0)</f>
        <v>426.55828800000006</v>
      </c>
      <c r="Z54" s="83">
        <f>TRUNC(IF(Y54&gt;0.01,Y54,0),2)</f>
        <v>426.55</v>
      </c>
      <c r="AA54" s="142">
        <f>TRUNC(IF(Y54&lt;0.01,-Y54,0),2)</f>
        <v>0</v>
      </c>
      <c r="AB54" s="142">
        <f>U54-W54-X54-Z54+AA54</f>
        <v>4522.9399999999996</v>
      </c>
      <c r="AC54" s="143">
        <f>[2]PORTADA!$D$10</f>
        <v>1</v>
      </c>
      <c r="AD54" s="138"/>
      <c r="AE54" s="40">
        <v>27</v>
      </c>
    </row>
    <row r="55" spans="1:33" s="40" customFormat="1" ht="36" customHeight="1">
      <c r="A55" s="105"/>
      <c r="B55" s="180"/>
      <c r="C55" s="180"/>
      <c r="D55" s="64" t="s">
        <v>373</v>
      </c>
      <c r="E55" s="147" t="s">
        <v>442</v>
      </c>
      <c r="F55" s="147" t="s">
        <v>443</v>
      </c>
      <c r="G55" s="66"/>
      <c r="H55" s="103" t="s">
        <v>37</v>
      </c>
      <c r="I55" s="132">
        <v>15</v>
      </c>
      <c r="J55" s="132" t="s">
        <v>272</v>
      </c>
      <c r="K55" s="132"/>
      <c r="L55" s="138">
        <v>0</v>
      </c>
      <c r="M55" s="139">
        <v>0</v>
      </c>
      <c r="N55" s="80">
        <f>2492/15</f>
        <v>166.13333333333333</v>
      </c>
      <c r="O55" s="83">
        <f>TRUNC(N55*I55,2)</f>
        <v>2492</v>
      </c>
      <c r="P55" s="141">
        <f>TRUNC(N55*I55*0.04,2)</f>
        <v>99.68</v>
      </c>
      <c r="Q55" s="83">
        <f>TRUNC(N55*0.07*I55,2)</f>
        <v>174.44</v>
      </c>
      <c r="R55" s="83">
        <f>L55</f>
        <v>0</v>
      </c>
      <c r="S55" s="83">
        <f>TRUNC(Q55+P55+(IF(R55&gt;519,519,R55))+IF(K55=0,0,K55*N55),2)</f>
        <v>274.12</v>
      </c>
      <c r="T55" s="83">
        <f>TRUNC((IF(K55=0,I55*N55,(I55-K55)*N55))+(IF(R55&lt;519,0,R55-519)),2)+M55</f>
        <v>2492</v>
      </c>
      <c r="U55" s="83">
        <f>S55+T55</f>
        <v>2766.12</v>
      </c>
      <c r="V55" s="83"/>
      <c r="W55" s="83"/>
      <c r="X55" s="83">
        <v>0</v>
      </c>
      <c r="Y55" s="84">
        <f>IF(N55&gt;0.01,(T55-VLOOKUP(T55,quincenal,1))*VLOOKUP(T55,quincenal,3)+VLOOKUP(T55,quincenal,2)-VLOOKUP(T55,subquincenal,2),0)</f>
        <v>6.6965119999999843</v>
      </c>
      <c r="Z55" s="83">
        <f>TRUNC(IF(Y55&gt;0.01,Y55,0),2)</f>
        <v>6.69</v>
      </c>
      <c r="AA55" s="142">
        <f>TRUNC(IF(Y55&lt;0.01,-Y55,0),2)</f>
        <v>0</v>
      </c>
      <c r="AB55" s="142">
        <f>U55-W55-X55-Z55+AA55</f>
        <v>2759.43</v>
      </c>
      <c r="AC55" s="143">
        <f>[2]PORTADA!$D$10</f>
        <v>1</v>
      </c>
      <c r="AD55" s="138"/>
      <c r="AE55" s="40">
        <v>28</v>
      </c>
    </row>
    <row r="56" spans="1:33" s="40" customFormat="1" ht="36" customHeight="1">
      <c r="A56" s="105"/>
      <c r="B56" s="180"/>
      <c r="C56" s="180"/>
      <c r="D56" s="64" t="s">
        <v>700</v>
      </c>
      <c r="E56" s="147"/>
      <c r="F56" s="147"/>
      <c r="G56" s="66"/>
      <c r="H56" s="103" t="s">
        <v>701</v>
      </c>
      <c r="I56" s="132">
        <v>15</v>
      </c>
      <c r="J56" s="132" t="s">
        <v>272</v>
      </c>
      <c r="K56" s="132"/>
      <c r="L56" s="138">
        <v>0</v>
      </c>
      <c r="M56" s="139">
        <v>0</v>
      </c>
      <c r="N56" s="80">
        <v>147.9015</v>
      </c>
      <c r="O56" s="83">
        <f>TRUNC(N56*I56,2)</f>
        <v>2218.52</v>
      </c>
      <c r="P56" s="141">
        <f>TRUNC(N56*I56*0.04,2)</f>
        <v>88.74</v>
      </c>
      <c r="Q56" s="83">
        <f>TRUNC(N56*0.07*I56,2)</f>
        <v>155.29</v>
      </c>
      <c r="R56" s="83">
        <f>L56</f>
        <v>0</v>
      </c>
      <c r="S56" s="83">
        <f>TRUNC(Q56+P56+(IF(R56&gt;519,519,R56))+IF(K56=0,0,K56*N56),2)</f>
        <v>244.03</v>
      </c>
      <c r="T56" s="83">
        <f>TRUNC((IF(K56=0,I56*N56,(I56-K56)*N56))+(IF(R56&lt;519,0,R56-519)),2)+M56</f>
        <v>2218.52</v>
      </c>
      <c r="U56" s="83">
        <f>S56+T56</f>
        <v>2462.5500000000002</v>
      </c>
      <c r="V56" s="83"/>
      <c r="W56" s="83"/>
      <c r="X56" s="83"/>
      <c r="Y56" s="84">
        <f>IF(N56&gt;0.01,(T56-VLOOKUP(T56,quincenal,1))*VLOOKUP(T56,quincenal,3)+VLOOKUP(T56,quincenal,2)-VLOOKUP(T56,subquincenal,2),0)</f>
        <v>-37.458112000000028</v>
      </c>
      <c r="Z56" s="83">
        <f t="shared" ref="Z56" si="64">TRUNC(IF(Y56&gt;0.01,Y56,0),2)</f>
        <v>0</v>
      </c>
      <c r="AA56" s="142">
        <f t="shared" ref="AA56" si="65">TRUNC(IF(Y56&lt;0.01,-Y56,0),2)</f>
        <v>37.450000000000003</v>
      </c>
      <c r="AB56" s="142">
        <f>U56-W56-X56-Z56+AA56</f>
        <v>2500</v>
      </c>
      <c r="AC56" s="143"/>
      <c r="AD56" s="138"/>
      <c r="AE56" s="40">
        <v>29</v>
      </c>
    </row>
    <row r="57" spans="1:33" s="40" customFormat="1" ht="36" customHeight="1">
      <c r="A57" s="105">
        <v>28</v>
      </c>
      <c r="B57" s="71">
        <v>1</v>
      </c>
      <c r="C57" s="71">
        <v>14</v>
      </c>
      <c r="D57" s="64" t="s">
        <v>601</v>
      </c>
      <c r="E57" s="65"/>
      <c r="F57" s="65"/>
      <c r="G57" s="66"/>
      <c r="H57" s="103" t="s">
        <v>600</v>
      </c>
      <c r="I57" s="72">
        <v>15</v>
      </c>
      <c r="J57" s="72" t="s">
        <v>272</v>
      </c>
      <c r="K57" s="72"/>
      <c r="L57" s="73">
        <v>0</v>
      </c>
      <c r="M57" s="74">
        <v>0</v>
      </c>
      <c r="N57" s="80">
        <v>183.15199999999999</v>
      </c>
      <c r="O57" s="81">
        <f>TRUNC(N57*I57,2)</f>
        <v>2747.28</v>
      </c>
      <c r="P57" s="82">
        <f>TRUNC(N57*I57*0.04,2)</f>
        <v>109.89</v>
      </c>
      <c r="Q57" s="81">
        <f>TRUNC(N57*0.07*I57,2)</f>
        <v>192.3</v>
      </c>
      <c r="R57" s="83">
        <f>L57</f>
        <v>0</v>
      </c>
      <c r="S57" s="81">
        <f>TRUNC(Q57+P57+(IF(R57&gt;519,519,R57))+IF(K57=0,0,K57*N57),2)</f>
        <v>302.19</v>
      </c>
      <c r="T57" s="81">
        <f>TRUNC((IF(K57=0,I57*N57,(I57-K57)*N57))+(IF(R57&lt;519,0,R57-519)),2)+M57</f>
        <v>2747.28</v>
      </c>
      <c r="U57" s="81">
        <f>S57+T57</f>
        <v>3049.4700000000003</v>
      </c>
      <c r="V57" s="81"/>
      <c r="W57" s="81"/>
      <c r="X57" s="81">
        <v>0</v>
      </c>
      <c r="Y57" s="84">
        <f>IF(N57&gt;0.01,(T57-VLOOKUP(T57,quincenal,1))*VLOOKUP(T57,quincenal,3)+VLOOKUP(T57,quincenal,2)-VLOOKUP(T57,subquincenal,2),0)</f>
        <v>49.470976000000007</v>
      </c>
      <c r="Z57" s="81">
        <f>TRUNC(IF(Y57&gt;0.01,Y57,0),2)</f>
        <v>49.47</v>
      </c>
      <c r="AA57" s="85">
        <f>TRUNC(IF(Y57&lt;0.01,-Y57,0),2)</f>
        <v>0</v>
      </c>
      <c r="AB57" s="85">
        <f>U57-W57-X57-Z57+AA57</f>
        <v>3000.0000000000005</v>
      </c>
      <c r="AC57" s="86" t="e">
        <f>#REF!</f>
        <v>#REF!</v>
      </c>
      <c r="AD57" s="73"/>
      <c r="AE57" s="191">
        <v>30</v>
      </c>
      <c r="AF57" s="91"/>
      <c r="AG57" s="91"/>
    </row>
    <row r="58" spans="1:33" s="40" customFormat="1" ht="12.75">
      <c r="A58" s="105"/>
      <c r="B58" s="180"/>
      <c r="C58" s="180"/>
      <c r="D58" s="95" t="s">
        <v>293</v>
      </c>
      <c r="E58" s="43"/>
      <c r="F58" s="43"/>
      <c r="G58" s="44"/>
      <c r="H58" s="96"/>
      <c r="I58" s="51"/>
      <c r="J58" s="51"/>
      <c r="K58" s="51"/>
      <c r="L58" s="52"/>
      <c r="M58" s="53"/>
      <c r="N58" s="97"/>
      <c r="O58" s="98">
        <f>SUM(O54:O57)</f>
        <v>11916.800000000001</v>
      </c>
      <c r="P58" s="98">
        <f t="shared" ref="P58:AB58" si="66">SUM(P54:P57)</f>
        <v>476.67</v>
      </c>
      <c r="Q58" s="98">
        <f t="shared" si="66"/>
        <v>834.16000000000008</v>
      </c>
      <c r="R58" s="98">
        <f t="shared" si="66"/>
        <v>0</v>
      </c>
      <c r="S58" s="98">
        <f t="shared" si="66"/>
        <v>1310.83</v>
      </c>
      <c r="T58" s="98">
        <f t="shared" si="66"/>
        <v>11916.800000000001</v>
      </c>
      <c r="U58" s="98">
        <f t="shared" si="66"/>
        <v>13227.630000000001</v>
      </c>
      <c r="V58" s="98">
        <f t="shared" si="66"/>
        <v>0</v>
      </c>
      <c r="W58" s="98">
        <f t="shared" si="66"/>
        <v>0</v>
      </c>
      <c r="X58" s="98">
        <f t="shared" si="66"/>
        <v>0</v>
      </c>
      <c r="Y58" s="98">
        <f t="shared" si="66"/>
        <v>445.26766400000002</v>
      </c>
      <c r="Z58" s="98">
        <f t="shared" si="66"/>
        <v>482.71000000000004</v>
      </c>
      <c r="AA58" s="98">
        <f t="shared" si="66"/>
        <v>37.450000000000003</v>
      </c>
      <c r="AB58" s="98">
        <f t="shared" si="66"/>
        <v>12782.369999999999</v>
      </c>
      <c r="AC58" s="99"/>
      <c r="AD58" s="52"/>
    </row>
    <row r="59" spans="1:33" s="40" customFormat="1">
      <c r="A59" s="105"/>
      <c r="B59" s="180"/>
      <c r="C59" s="180"/>
      <c r="D59" s="127"/>
      <c r="E59" s="43"/>
      <c r="F59" s="43"/>
      <c r="G59" s="44"/>
      <c r="H59" s="96"/>
      <c r="I59" s="51"/>
      <c r="J59" s="51"/>
      <c r="K59" s="51"/>
      <c r="L59" s="52"/>
      <c r="M59" s="53"/>
      <c r="N59" s="97"/>
      <c r="O59" s="88"/>
      <c r="P59" s="181"/>
      <c r="Q59" s="88"/>
      <c r="R59" s="146"/>
      <c r="S59" s="88"/>
      <c r="T59" s="88"/>
      <c r="U59" s="88"/>
      <c r="V59" s="88"/>
      <c r="W59" s="88"/>
      <c r="X59" s="88"/>
      <c r="Y59" s="91"/>
      <c r="Z59" s="88"/>
      <c r="AA59" s="182"/>
      <c r="AB59" s="182"/>
      <c r="AC59" s="99"/>
      <c r="AD59" s="52"/>
    </row>
    <row r="60" spans="1:33" s="40" customFormat="1" ht="12.75">
      <c r="A60" s="105"/>
      <c r="B60" s="180"/>
      <c r="C60" s="180"/>
      <c r="D60" s="95" t="s">
        <v>38</v>
      </c>
      <c r="E60" s="43"/>
      <c r="F60" s="43"/>
      <c r="G60" s="44"/>
      <c r="H60" s="96"/>
      <c r="I60" s="51"/>
      <c r="J60" s="51"/>
      <c r="K60" s="51"/>
      <c r="L60" s="52"/>
      <c r="M60" s="53"/>
      <c r="N60" s="97"/>
      <c r="O60" s="88"/>
      <c r="P60" s="181"/>
      <c r="Q60" s="88"/>
      <c r="R60" s="146"/>
      <c r="S60" s="88"/>
      <c r="T60" s="88"/>
      <c r="U60" s="88"/>
      <c r="V60" s="88"/>
      <c r="W60" s="88"/>
      <c r="X60" s="88"/>
      <c r="Y60" s="91"/>
      <c r="Z60" s="88"/>
      <c r="AA60" s="182"/>
      <c r="AB60" s="182"/>
      <c r="AC60" s="99"/>
      <c r="AD60" s="52"/>
    </row>
    <row r="61" spans="1:33" s="40" customFormat="1" ht="36" customHeight="1">
      <c r="A61" s="105"/>
      <c r="B61" s="180"/>
      <c r="C61" s="180"/>
      <c r="D61" s="64" t="s">
        <v>599</v>
      </c>
      <c r="E61" s="150" t="s">
        <v>570</v>
      </c>
      <c r="F61" s="65"/>
      <c r="G61" s="66"/>
      <c r="H61" s="103" t="s">
        <v>256</v>
      </c>
      <c r="I61" s="132">
        <v>15</v>
      </c>
      <c r="J61" s="132" t="s">
        <v>272</v>
      </c>
      <c r="K61" s="132"/>
      <c r="L61" s="138">
        <v>0</v>
      </c>
      <c r="M61" s="139">
        <v>0</v>
      </c>
      <c r="N61" s="80">
        <v>331.43599999999998</v>
      </c>
      <c r="O61" s="83">
        <f t="shared" ref="O61:O68" si="67">TRUNC(N61*I61,2)</f>
        <v>4971.54</v>
      </c>
      <c r="P61" s="141">
        <f t="shared" ref="P61:P68" si="68">TRUNC(N61*I61*0.04,2)</f>
        <v>198.86</v>
      </c>
      <c r="Q61" s="83">
        <f t="shared" ref="Q61:Q68" si="69">TRUNC(N61*0.07*I61,2)</f>
        <v>348</v>
      </c>
      <c r="R61" s="83">
        <f t="shared" ref="R61:R68" si="70">L61</f>
        <v>0</v>
      </c>
      <c r="S61" s="83">
        <f t="shared" ref="S61:S68" si="71">TRUNC(Q61+P61+(IF(R61&gt;519,519,R61))+IF(K61=0,0,K61*N61),2)</f>
        <v>546.86</v>
      </c>
      <c r="T61" s="83">
        <f t="shared" ref="T61:T68" si="72">TRUNC((IF(K61=0,I61*N61,(I61-K61)*N61))+(IF(R61&lt;519,0,R61-519)),2)+M61</f>
        <v>4971.54</v>
      </c>
      <c r="U61" s="83">
        <f t="shared" ref="U61:U68" si="73">S61+T61</f>
        <v>5518.4</v>
      </c>
      <c r="V61" s="83"/>
      <c r="W61" s="83"/>
      <c r="X61" s="83">
        <v>0</v>
      </c>
      <c r="Y61" s="84">
        <f t="shared" ref="Y61" si="74">IF(N61&gt;0.01,(T61-VLOOKUP(T61,quincenal,1))*VLOOKUP(T61,quincenal,3)+VLOOKUP(T61,quincenal,2)-VLOOKUP(T61,subquincenal,2),0)</f>
        <v>518.40545600000007</v>
      </c>
      <c r="Z61" s="83">
        <f t="shared" ref="Z61:Z68" si="75">TRUNC(IF(Y61&gt;0.01,Y61,0),2)</f>
        <v>518.4</v>
      </c>
      <c r="AA61" s="142">
        <f t="shared" ref="AA61:AA68" si="76">TRUNC(IF(Y61&lt;0.01,-Y61,0),2)</f>
        <v>0</v>
      </c>
      <c r="AB61" s="142">
        <f t="shared" ref="AB61:AB68" si="77">U61-W61-X61-Z61+AA61</f>
        <v>5000</v>
      </c>
      <c r="AC61" s="143">
        <f>[3]PORTADA!$D$10</f>
        <v>1</v>
      </c>
      <c r="AD61" s="138"/>
      <c r="AE61" s="40">
        <v>31</v>
      </c>
    </row>
    <row r="62" spans="1:33" s="40" customFormat="1" ht="36" customHeight="1">
      <c r="A62" s="105"/>
      <c r="B62" s="180"/>
      <c r="C62" s="180"/>
      <c r="D62" s="64" t="s">
        <v>237</v>
      </c>
      <c r="E62" s="147" t="s">
        <v>204</v>
      </c>
      <c r="F62" s="147" t="s">
        <v>238</v>
      </c>
      <c r="G62" s="148">
        <v>37987</v>
      </c>
      <c r="H62" s="107" t="s">
        <v>39</v>
      </c>
      <c r="I62" s="132">
        <v>15</v>
      </c>
      <c r="J62" s="132" t="s">
        <v>272</v>
      </c>
      <c r="K62" s="132"/>
      <c r="L62" s="138">
        <v>0</v>
      </c>
      <c r="M62" s="139">
        <v>0</v>
      </c>
      <c r="N62" s="80">
        <f>3463/15</f>
        <v>230.86666666666667</v>
      </c>
      <c r="O62" s="83">
        <f t="shared" si="67"/>
        <v>3463</v>
      </c>
      <c r="P62" s="141">
        <f t="shared" si="68"/>
        <v>138.52000000000001</v>
      </c>
      <c r="Q62" s="83">
        <f t="shared" si="69"/>
        <v>242.41</v>
      </c>
      <c r="R62" s="83">
        <f t="shared" si="70"/>
        <v>0</v>
      </c>
      <c r="S62" s="83">
        <f t="shared" si="71"/>
        <v>380.93</v>
      </c>
      <c r="T62" s="83">
        <f t="shared" si="72"/>
        <v>3463</v>
      </c>
      <c r="U62" s="83">
        <f t="shared" si="73"/>
        <v>3843.93</v>
      </c>
      <c r="V62" s="83"/>
      <c r="W62" s="83"/>
      <c r="X62" s="83">
        <v>0</v>
      </c>
      <c r="Y62" s="84">
        <f t="shared" ref="Y62" si="78">IF(N62&gt;0.01,(T62-VLOOKUP(T62,quincenal,1))*VLOOKUP(T62,quincenal,3)+VLOOKUP(T62,quincenal,2)-VLOOKUP(T62,subquincenal,2),0)</f>
        <v>147.59131199999999</v>
      </c>
      <c r="Z62" s="83">
        <f t="shared" si="75"/>
        <v>147.59</v>
      </c>
      <c r="AA62" s="142">
        <f t="shared" si="76"/>
        <v>0</v>
      </c>
      <c r="AB62" s="142">
        <f t="shared" si="77"/>
        <v>3696.3399999999997</v>
      </c>
      <c r="AC62" s="143">
        <f>[2]PORTADA!$D$10</f>
        <v>1</v>
      </c>
      <c r="AD62" s="138"/>
      <c r="AE62" s="40">
        <v>32</v>
      </c>
    </row>
    <row r="63" spans="1:33" s="40" customFormat="1" ht="36" customHeight="1">
      <c r="A63" s="105"/>
      <c r="B63" s="180"/>
      <c r="C63" s="180"/>
      <c r="D63" s="64" t="s">
        <v>727</v>
      </c>
      <c r="E63" s="147"/>
      <c r="F63" s="147"/>
      <c r="G63" s="148"/>
      <c r="H63" s="103" t="s">
        <v>551</v>
      </c>
      <c r="I63" s="132">
        <v>15</v>
      </c>
      <c r="J63" s="132" t="s">
        <v>272</v>
      </c>
      <c r="K63" s="132"/>
      <c r="L63" s="138">
        <v>0</v>
      </c>
      <c r="M63" s="139">
        <v>0</v>
      </c>
      <c r="N63" s="80">
        <v>165.506</v>
      </c>
      <c r="O63" s="83">
        <f t="shared" ref="O63" si="79">TRUNC(N63*I63,2)</f>
        <v>2482.59</v>
      </c>
      <c r="P63" s="141">
        <f t="shared" ref="P63" si="80">TRUNC(N63*I63*0.04,2)</f>
        <v>99.3</v>
      </c>
      <c r="Q63" s="83">
        <f t="shared" ref="Q63" si="81">TRUNC(N63*0.07*I63,2)</f>
        <v>173.78</v>
      </c>
      <c r="R63" s="83">
        <f t="shared" ref="R63" si="82">L63</f>
        <v>0</v>
      </c>
      <c r="S63" s="83">
        <f t="shared" ref="S63" si="83">TRUNC(Q63+P63+(IF(R63&gt;519,519,R63))+IF(K63=0,0,K63*N63),2)</f>
        <v>273.08</v>
      </c>
      <c r="T63" s="83">
        <f t="shared" ref="T63" si="84">TRUNC((IF(K63=0,I63*N63,(I63-K63)*N63))+(IF(R63&lt;519,0,R63-519)),2)+M63</f>
        <v>2482.59</v>
      </c>
      <c r="U63" s="83">
        <f t="shared" ref="U63" si="85">S63+T63</f>
        <v>2755.67</v>
      </c>
      <c r="V63" s="83"/>
      <c r="W63" s="83"/>
      <c r="X63" s="83">
        <v>0</v>
      </c>
      <c r="Y63" s="84">
        <f t="shared" ref="Y63" si="86">IF(N63&gt;0.01,(T63-VLOOKUP(T63,quincenal,1))*VLOOKUP(T63,quincenal,3)+VLOOKUP(T63,quincenal,2)-VLOOKUP(T63,subquincenal,2),0)</f>
        <v>5.6727039999999818</v>
      </c>
      <c r="Z63" s="83">
        <f t="shared" ref="Z63" si="87">TRUNC(IF(Y63&gt;0.01,Y63,0),2)</f>
        <v>5.67</v>
      </c>
      <c r="AA63" s="142">
        <f t="shared" ref="AA63" si="88">TRUNC(IF(Y63&lt;0.01,-Y63,0),2)</f>
        <v>0</v>
      </c>
      <c r="AB63" s="142">
        <f t="shared" ref="AB63" si="89">U63-W63-X63-Z63+AA63</f>
        <v>2750</v>
      </c>
      <c r="AC63" s="143"/>
      <c r="AD63" s="138"/>
    </row>
    <row r="64" spans="1:33" s="40" customFormat="1" ht="36" customHeight="1">
      <c r="A64" s="105"/>
      <c r="B64" s="180"/>
      <c r="C64" s="180"/>
      <c r="D64" s="64" t="s">
        <v>691</v>
      </c>
      <c r="E64" s="147"/>
      <c r="F64" s="147"/>
      <c r="G64" s="148"/>
      <c r="H64" s="192" t="s">
        <v>692</v>
      </c>
      <c r="I64" s="132">
        <v>15</v>
      </c>
      <c r="J64" s="132" t="s">
        <v>272</v>
      </c>
      <c r="K64" s="132"/>
      <c r="L64" s="138">
        <v>0</v>
      </c>
      <c r="M64" s="139">
        <v>0</v>
      </c>
      <c r="N64" s="80">
        <v>147.9015</v>
      </c>
      <c r="O64" s="83">
        <f>TRUNC(N64*I64,2)</f>
        <v>2218.52</v>
      </c>
      <c r="P64" s="141">
        <f>TRUNC(N64*I64*0.04,2)</f>
        <v>88.74</v>
      </c>
      <c r="Q64" s="83">
        <f>TRUNC(N64*0.07*I64,2)</f>
        <v>155.29</v>
      </c>
      <c r="R64" s="83">
        <f>L64</f>
        <v>0</v>
      </c>
      <c r="S64" s="83">
        <f>TRUNC(Q64+P64+(IF(R64&gt;519,519,R64))+IF(K64=0,0,K64*N64),2)</f>
        <v>244.03</v>
      </c>
      <c r="T64" s="83">
        <f>TRUNC((IF(K64=0,I64*N64,(I64-K64)*N64))+(IF(R64&lt;519,0,R64-519)),2)+M64</f>
        <v>2218.52</v>
      </c>
      <c r="U64" s="83">
        <f>S64+T64</f>
        <v>2462.5500000000002</v>
      </c>
      <c r="V64" s="83"/>
      <c r="W64" s="83"/>
      <c r="X64" s="83"/>
      <c r="Y64" s="84">
        <f>IF(N64&gt;0.01,(T64-VLOOKUP(T64,quincenal,1))*VLOOKUP(T64,quincenal,3)+VLOOKUP(T64,quincenal,2)-VLOOKUP(T64,subquincenal,2),0)</f>
        <v>-37.458112000000028</v>
      </c>
      <c r="Z64" s="83">
        <f t="shared" si="75"/>
        <v>0</v>
      </c>
      <c r="AA64" s="142">
        <f t="shared" si="76"/>
        <v>37.450000000000003</v>
      </c>
      <c r="AB64" s="142">
        <f>U64-W64-X64-Z64+AA64</f>
        <v>2500</v>
      </c>
      <c r="AC64" s="143"/>
      <c r="AD64" s="138"/>
      <c r="AE64" s="40">
        <v>33</v>
      </c>
    </row>
    <row r="65" spans="1:33" s="40" customFormat="1" ht="36" customHeight="1">
      <c r="A65" s="105"/>
      <c r="B65" s="180"/>
      <c r="C65" s="180"/>
      <c r="D65" s="64" t="s">
        <v>693</v>
      </c>
      <c r="E65" s="147"/>
      <c r="F65" s="147"/>
      <c r="G65" s="148"/>
      <c r="H65" s="192" t="s">
        <v>694</v>
      </c>
      <c r="I65" s="72">
        <v>15</v>
      </c>
      <c r="J65" s="132" t="s">
        <v>272</v>
      </c>
      <c r="K65" s="72"/>
      <c r="L65" s="73">
        <v>0</v>
      </c>
      <c r="M65" s="74">
        <v>0</v>
      </c>
      <c r="N65" s="80">
        <v>172.83099999999999</v>
      </c>
      <c r="O65" s="81">
        <f>TRUNC(N65*I65,2)</f>
        <v>2592.46</v>
      </c>
      <c r="P65" s="82">
        <f>TRUNC(N65*I65*0.04,2)</f>
        <v>103.69</v>
      </c>
      <c r="Q65" s="81">
        <f>TRUNC(N65*0.07*I65,2)</f>
        <v>181.47</v>
      </c>
      <c r="R65" s="83">
        <f>L65</f>
        <v>0</v>
      </c>
      <c r="S65" s="81">
        <f>TRUNC(Q65+P65+(IF(R65&gt;519,519,R65))+IF(K65=0,0,K65*N65),2)</f>
        <v>285.16000000000003</v>
      </c>
      <c r="T65" s="81">
        <f>TRUNC((IF(K65=0,I65*N65,(I65-K65)*N65))+(IF(R65&lt;519,0,R65-519)),2)+M65</f>
        <v>2592.46</v>
      </c>
      <c r="U65" s="81">
        <f>S65+T65</f>
        <v>2877.62</v>
      </c>
      <c r="V65" s="81"/>
      <c r="W65" s="81"/>
      <c r="X65" s="81"/>
      <c r="Y65" s="84">
        <f>IF(N65&gt;0.01,(T65-VLOOKUP(T65,quincenal,1))*VLOOKUP(T65,quincenal,3)+VLOOKUP(T65,quincenal,2)-VLOOKUP(T65,subquincenal,2),0)</f>
        <v>17.626559999999984</v>
      </c>
      <c r="Z65" s="83">
        <f t="shared" ref="Z65:Z67" si="90">TRUNC(IF(Y65&gt;0.01,Y65,0),2)</f>
        <v>17.62</v>
      </c>
      <c r="AA65" s="142">
        <f t="shared" ref="AA65:AA67" si="91">TRUNC(IF(Y65&lt;0.01,-Y65,0),2)</f>
        <v>0</v>
      </c>
      <c r="AB65" s="85">
        <f>U65-W65-X65-Z65+AA65</f>
        <v>2860</v>
      </c>
      <c r="AC65" s="143"/>
      <c r="AD65" s="138"/>
      <c r="AE65" s="40">
        <v>34</v>
      </c>
    </row>
    <row r="66" spans="1:33" s="40" customFormat="1" ht="36" customHeight="1">
      <c r="A66" s="105"/>
      <c r="B66" s="180"/>
      <c r="C66" s="180"/>
      <c r="D66" s="64" t="s">
        <v>696</v>
      </c>
      <c r="E66" s="147"/>
      <c r="F66" s="147"/>
      <c r="G66" s="148"/>
      <c r="H66" s="107" t="s">
        <v>697</v>
      </c>
      <c r="I66" s="72">
        <v>15</v>
      </c>
      <c r="J66" s="132" t="s">
        <v>272</v>
      </c>
      <c r="K66" s="72"/>
      <c r="L66" s="73">
        <v>0</v>
      </c>
      <c r="M66" s="74">
        <v>0</v>
      </c>
      <c r="N66" s="80">
        <v>154.56</v>
      </c>
      <c r="O66" s="81">
        <f>TRUNC(N66*I66,2)</f>
        <v>2318.4</v>
      </c>
      <c r="P66" s="82">
        <f>TRUNC(N66*I66*0.04,2)</f>
        <v>92.73</v>
      </c>
      <c r="Q66" s="81">
        <f>TRUNC(N66*0.07*I66,2)</f>
        <v>162.28</v>
      </c>
      <c r="R66" s="83">
        <f>L66</f>
        <v>0</v>
      </c>
      <c r="S66" s="81">
        <f>TRUNC(Q66+P66+(IF(R66&gt;519,519,R66))+IF(K66=0,0,K66*N66),2)</f>
        <v>255.01</v>
      </c>
      <c r="T66" s="81">
        <f>TRUNC((IF(K66=0,I66*N66,(I66-K66)*N66))+(IF(R66&lt;519,0,R66-519)),2)+M66</f>
        <v>2318.4</v>
      </c>
      <c r="U66" s="81">
        <f>S66+T66</f>
        <v>2573.41</v>
      </c>
      <c r="V66" s="81"/>
      <c r="W66" s="81"/>
      <c r="X66" s="81"/>
      <c r="Y66" s="84">
        <f>IF(N66&gt;0.01,(T66-VLOOKUP(T66,quincenal,1))*VLOOKUP(T66,quincenal,3)+VLOOKUP(T66,quincenal,2)-VLOOKUP(T66,subquincenal,2),0)</f>
        <v>-26.59116800000001</v>
      </c>
      <c r="Z66" s="83">
        <f t="shared" si="90"/>
        <v>0</v>
      </c>
      <c r="AA66" s="142">
        <f t="shared" si="91"/>
        <v>26.59</v>
      </c>
      <c r="AB66" s="85">
        <f>U66-W66-X66-Z66+AA66</f>
        <v>2600</v>
      </c>
      <c r="AC66" s="143"/>
      <c r="AD66" s="138"/>
      <c r="AE66" s="40">
        <v>35</v>
      </c>
    </row>
    <row r="67" spans="1:33" s="40" customFormat="1" ht="36" customHeight="1">
      <c r="A67" s="105"/>
      <c r="B67" s="180"/>
      <c r="C67" s="180"/>
      <c r="D67" s="64" t="s">
        <v>690</v>
      </c>
      <c r="E67" s="147"/>
      <c r="F67" s="147"/>
      <c r="G67" s="148"/>
      <c r="H67" s="107" t="s">
        <v>666</v>
      </c>
      <c r="I67" s="72">
        <v>15</v>
      </c>
      <c r="J67" s="72" t="s">
        <v>272</v>
      </c>
      <c r="K67" s="72"/>
      <c r="L67" s="73">
        <v>0</v>
      </c>
      <c r="M67" s="74">
        <v>0</v>
      </c>
      <c r="N67" s="80">
        <v>113.977</v>
      </c>
      <c r="O67" s="81">
        <f t="shared" ref="O67" si="92">TRUNC(N67*I67,2)</f>
        <v>1709.65</v>
      </c>
      <c r="P67" s="82">
        <f t="shared" ref="P67" si="93">TRUNC(N67*I67*0.04,2)</f>
        <v>68.38</v>
      </c>
      <c r="Q67" s="81">
        <f t="shared" ref="Q67" si="94">TRUNC(N67*0.07*I67,2)</f>
        <v>119.67</v>
      </c>
      <c r="R67" s="83">
        <f t="shared" ref="R67" si="95">L67</f>
        <v>0</v>
      </c>
      <c r="S67" s="81">
        <f t="shared" ref="S67" si="96">TRUNC(Q67+P67+(IF(R67&gt;519,519,R67))+IF(K67=0,0,K67*N67),2)</f>
        <v>188.05</v>
      </c>
      <c r="T67" s="81">
        <f t="shared" ref="T67" si="97">TRUNC((IF(K67=0,I67*N67,(I67-K67)*N67))+(IF(R67&lt;519,0,R67-519)),2)+M67</f>
        <v>1709.65</v>
      </c>
      <c r="U67" s="81">
        <f t="shared" ref="U67" si="98">S67+T67</f>
        <v>1897.7</v>
      </c>
      <c r="V67" s="81"/>
      <c r="W67" s="81"/>
      <c r="X67" s="83">
        <v>0</v>
      </c>
      <c r="Y67" s="84">
        <f t="shared" ref="Y67" si="99">IF(N67&gt;0.01,(T67-VLOOKUP(T67,quincenal,1))*VLOOKUP(T67,quincenal,3)+VLOOKUP(T67,quincenal,2)-VLOOKUP(T67,subquincenal,2),0)</f>
        <v>-102.30023999999997</v>
      </c>
      <c r="Z67" s="83">
        <f t="shared" si="90"/>
        <v>0</v>
      </c>
      <c r="AA67" s="142">
        <f t="shared" si="91"/>
        <v>102.3</v>
      </c>
      <c r="AB67" s="142">
        <f t="shared" ref="AB67" si="100">U67-W67-X67-Z67+AA67</f>
        <v>2000</v>
      </c>
      <c r="AC67" s="143"/>
      <c r="AD67" s="138"/>
      <c r="AE67" s="40">
        <v>36</v>
      </c>
    </row>
    <row r="68" spans="1:33" s="40" customFormat="1" ht="36" customHeight="1">
      <c r="A68" s="105"/>
      <c r="B68" s="180"/>
      <c r="C68" s="180"/>
      <c r="D68" s="64" t="s">
        <v>382</v>
      </c>
      <c r="E68" s="65"/>
      <c r="F68" s="65"/>
      <c r="G68" s="66"/>
      <c r="H68" s="103" t="s">
        <v>539</v>
      </c>
      <c r="I68" s="132">
        <v>15</v>
      </c>
      <c r="J68" s="132" t="s">
        <v>272</v>
      </c>
      <c r="K68" s="132"/>
      <c r="L68" s="138">
        <v>0</v>
      </c>
      <c r="M68" s="139">
        <v>0</v>
      </c>
      <c r="N68" s="80">
        <f>4060/15</f>
        <v>270.66666666666669</v>
      </c>
      <c r="O68" s="83">
        <f t="shared" si="67"/>
        <v>4060</v>
      </c>
      <c r="P68" s="141">
        <f t="shared" si="68"/>
        <v>162.4</v>
      </c>
      <c r="Q68" s="83">
        <f t="shared" si="69"/>
        <v>284.2</v>
      </c>
      <c r="R68" s="83">
        <f t="shared" si="70"/>
        <v>0</v>
      </c>
      <c r="S68" s="83">
        <f t="shared" si="71"/>
        <v>446.6</v>
      </c>
      <c r="T68" s="83">
        <f t="shared" si="72"/>
        <v>4060</v>
      </c>
      <c r="U68" s="83">
        <f t="shared" si="73"/>
        <v>4506.6000000000004</v>
      </c>
      <c r="V68" s="83"/>
      <c r="W68" s="83"/>
      <c r="X68" s="83">
        <v>0</v>
      </c>
      <c r="Y68" s="84">
        <f t="shared" ref="Y68" si="101">IF(N68&gt;0.01,(T68-VLOOKUP(T68,quincenal,1))*VLOOKUP(T68,quincenal,3)+VLOOKUP(T68,quincenal,2)-VLOOKUP(T68,subquincenal,2),0)</f>
        <v>358.6884</v>
      </c>
      <c r="Z68" s="83">
        <f t="shared" si="75"/>
        <v>358.68</v>
      </c>
      <c r="AA68" s="142">
        <f t="shared" si="76"/>
        <v>0</v>
      </c>
      <c r="AB68" s="142">
        <f t="shared" si="77"/>
        <v>4147.92</v>
      </c>
      <c r="AC68" s="143">
        <f>[2]PORTADA!$D$10</f>
        <v>1</v>
      </c>
      <c r="AD68" s="138"/>
      <c r="AE68" s="40">
        <v>37</v>
      </c>
    </row>
    <row r="69" spans="1:33" s="40" customFormat="1" ht="12.75">
      <c r="A69" s="105"/>
      <c r="B69" s="180"/>
      <c r="C69" s="180"/>
      <c r="D69" s="95" t="s">
        <v>38</v>
      </c>
      <c r="E69" s="43"/>
      <c r="F69" s="43"/>
      <c r="G69" s="44"/>
      <c r="H69" s="96"/>
      <c r="I69" s="51"/>
      <c r="J69" s="51"/>
      <c r="K69" s="51"/>
      <c r="L69" s="52"/>
      <c r="M69" s="53"/>
      <c r="N69" s="97"/>
      <c r="O69" s="98">
        <f>SUM(O61:O68)</f>
        <v>23816.160000000003</v>
      </c>
      <c r="P69" s="98">
        <f t="shared" ref="P69:AB69" si="102">SUM(P61:P68)</f>
        <v>952.61999999999989</v>
      </c>
      <c r="Q69" s="98">
        <f t="shared" si="102"/>
        <v>1667.1</v>
      </c>
      <c r="R69" s="98">
        <f t="shared" si="102"/>
        <v>0</v>
      </c>
      <c r="S69" s="98">
        <f t="shared" si="102"/>
        <v>2619.7199999999998</v>
      </c>
      <c r="T69" s="98">
        <f t="shared" si="102"/>
        <v>23816.160000000003</v>
      </c>
      <c r="U69" s="98">
        <f t="shared" si="102"/>
        <v>26435.879999999997</v>
      </c>
      <c r="V69" s="98">
        <f t="shared" si="102"/>
        <v>0</v>
      </c>
      <c r="W69" s="98">
        <f t="shared" si="102"/>
        <v>0</v>
      </c>
      <c r="X69" s="98">
        <f t="shared" si="102"/>
        <v>0</v>
      </c>
      <c r="Y69" s="98">
        <f t="shared" si="102"/>
        <v>881.63491199999999</v>
      </c>
      <c r="Z69" s="98">
        <f t="shared" si="102"/>
        <v>1047.96</v>
      </c>
      <c r="AA69" s="98">
        <f t="shared" si="102"/>
        <v>166.34</v>
      </c>
      <c r="AB69" s="98">
        <f t="shared" si="102"/>
        <v>25554.260000000002</v>
      </c>
      <c r="AC69" s="99"/>
      <c r="AD69" s="52"/>
    </row>
    <row r="70" spans="1:33" s="40" customFormat="1">
      <c r="A70" s="105"/>
      <c r="B70" s="180"/>
      <c r="C70" s="180"/>
      <c r="D70" s="127"/>
      <c r="E70" s="43"/>
      <c r="F70" s="43"/>
      <c r="G70" s="44"/>
      <c r="H70" s="96"/>
      <c r="I70" s="51"/>
      <c r="J70" s="51"/>
      <c r="K70" s="51"/>
      <c r="L70" s="52"/>
      <c r="M70" s="53"/>
      <c r="N70" s="97"/>
      <c r="O70" s="88"/>
      <c r="P70" s="181"/>
      <c r="Q70" s="88"/>
      <c r="R70" s="146"/>
      <c r="S70" s="88"/>
      <c r="T70" s="88"/>
      <c r="U70" s="88"/>
      <c r="V70" s="88"/>
      <c r="W70" s="88"/>
      <c r="X70" s="88"/>
      <c r="Y70" s="91"/>
      <c r="Z70" s="88"/>
      <c r="AA70" s="182"/>
      <c r="AB70" s="182"/>
      <c r="AC70" s="99"/>
      <c r="AD70" s="52"/>
    </row>
    <row r="71" spans="1:33" s="40" customFormat="1" ht="12.75">
      <c r="A71" s="105"/>
      <c r="B71" s="180"/>
      <c r="C71" s="180"/>
      <c r="D71" s="95" t="s">
        <v>288</v>
      </c>
      <c r="E71" s="43"/>
      <c r="F71" s="43"/>
      <c r="G71" s="44"/>
      <c r="H71" s="96"/>
      <c r="I71" s="51"/>
      <c r="J71" s="51"/>
      <c r="K71" s="51"/>
      <c r="L71" s="52"/>
      <c r="M71" s="53"/>
      <c r="N71" s="97"/>
      <c r="O71" s="88"/>
      <c r="P71" s="181"/>
      <c r="Q71" s="88"/>
      <c r="R71" s="146"/>
      <c r="S71" s="88"/>
      <c r="T71" s="88"/>
      <c r="U71" s="88"/>
      <c r="V71" s="88"/>
      <c r="W71" s="88"/>
      <c r="X71" s="88"/>
      <c r="Y71" s="91"/>
      <c r="Z71" s="88"/>
      <c r="AA71" s="182"/>
      <c r="AB71" s="182"/>
      <c r="AC71" s="99"/>
      <c r="AD71" s="52"/>
    </row>
    <row r="72" spans="1:33" s="40" customFormat="1" ht="36" customHeight="1">
      <c r="A72" s="105">
        <v>35</v>
      </c>
      <c r="B72" s="71">
        <v>1</v>
      </c>
      <c r="C72" s="71">
        <v>19</v>
      </c>
      <c r="D72" s="64" t="s">
        <v>266</v>
      </c>
      <c r="E72" s="65"/>
      <c r="F72" s="65"/>
      <c r="G72" s="66"/>
      <c r="H72" s="103" t="s">
        <v>518</v>
      </c>
      <c r="I72" s="72">
        <v>15</v>
      </c>
      <c r="J72" s="72" t="s">
        <v>272</v>
      </c>
      <c r="K72" s="72"/>
      <c r="L72" s="73">
        <v>0</v>
      </c>
      <c r="M72" s="74">
        <v>0</v>
      </c>
      <c r="N72" s="80">
        <v>405.53410000000002</v>
      </c>
      <c r="O72" s="81">
        <f>TRUNC(N72*I72,2)</f>
        <v>6083.01</v>
      </c>
      <c r="P72" s="82">
        <f>TRUNC(N72*I72*0.04,2)</f>
        <v>243.32</v>
      </c>
      <c r="Q72" s="81">
        <f>TRUNC(N72*0.07*I72,2)</f>
        <v>425.81</v>
      </c>
      <c r="R72" s="83">
        <f>L72</f>
        <v>0</v>
      </c>
      <c r="S72" s="81">
        <f>TRUNC(Q72+P72+(IF(R72&gt;519,519,R72))+IF(K72=0,0,K72*N72),2)</f>
        <v>669.13</v>
      </c>
      <c r="T72" s="81">
        <f>TRUNC((IF(K72=0,I72*N72,(I72-K72)*N72))+(IF(R72&lt;519,0,R72-519)),2)+M72</f>
        <v>6083.01</v>
      </c>
      <c r="U72" s="81">
        <f>S72+T72</f>
        <v>6752.14</v>
      </c>
      <c r="V72" s="81"/>
      <c r="W72" s="81"/>
      <c r="X72" s="81">
        <v>0</v>
      </c>
      <c r="Y72" s="84">
        <f>IF(N72&gt;0.01,(T72-VLOOKUP(T72,quincenal,1))*VLOOKUP(T72,quincenal,3)+VLOOKUP(T72,quincenal,2)-VLOOKUP(T72,subquincenal,2),0)</f>
        <v>752.1417600000002</v>
      </c>
      <c r="Z72" s="81">
        <f>TRUNC(IF(Y72&gt;0.01,Y72,0),2)</f>
        <v>752.14</v>
      </c>
      <c r="AA72" s="85">
        <f>TRUNC(IF(Y72&lt;0.01,-Y72,0),2)</f>
        <v>0</v>
      </c>
      <c r="AB72" s="85">
        <f>U72-W72-X72-Z72+AA72</f>
        <v>6000</v>
      </c>
      <c r="AC72" s="86" t="e">
        <f>#REF!</f>
        <v>#REF!</v>
      </c>
      <c r="AD72" s="73"/>
      <c r="AE72" s="40">
        <v>38</v>
      </c>
      <c r="AG72" s="91"/>
    </row>
    <row r="73" spans="1:33" s="40" customFormat="1" ht="36" customHeight="1">
      <c r="A73" s="105">
        <v>36</v>
      </c>
      <c r="B73" s="71"/>
      <c r="C73" s="71"/>
      <c r="D73" s="76" t="s">
        <v>659</v>
      </c>
      <c r="E73" s="65"/>
      <c r="F73" s="65"/>
      <c r="G73" s="66"/>
      <c r="H73" s="103" t="s">
        <v>658</v>
      </c>
      <c r="I73" s="72">
        <v>15</v>
      </c>
      <c r="J73" s="72" t="s">
        <v>272</v>
      </c>
      <c r="K73" s="72"/>
      <c r="L73" s="73">
        <v>0</v>
      </c>
      <c r="M73" s="74">
        <v>0</v>
      </c>
      <c r="N73" s="80">
        <v>101.23</v>
      </c>
      <c r="O73" s="81">
        <f>TRUNC(N73*I73,2)</f>
        <v>1518.45</v>
      </c>
      <c r="P73" s="82">
        <f>TRUNC(N73*I73*0.04,2)</f>
        <v>60.73</v>
      </c>
      <c r="Q73" s="81">
        <f>TRUNC(N73*0.07*I73,2)</f>
        <v>106.29</v>
      </c>
      <c r="R73" s="83">
        <f>L73</f>
        <v>0</v>
      </c>
      <c r="S73" s="81">
        <f>TRUNC(Q73+P73+(IF(R73&gt;519,519,R73))+IF(K73=0,0,K73*N73),2)</f>
        <v>167.02</v>
      </c>
      <c r="T73" s="81">
        <f>TRUNC((IF(K73=0,I73*N73,(I73-K73)*N73))+(IF(R73&lt;519,0,R73-519)),2)+M73</f>
        <v>1518.45</v>
      </c>
      <c r="U73" s="81">
        <f>S73+T73</f>
        <v>1685.47</v>
      </c>
      <c r="V73" s="81"/>
      <c r="W73" s="81">
        <v>0</v>
      </c>
      <c r="X73" s="81">
        <v>0</v>
      </c>
      <c r="Y73" s="84">
        <f>IF(N73&gt;0.01,(T73-VLOOKUP(T73,quincenal,1))*VLOOKUP(T73,quincenal,3)+VLOOKUP(T73,quincenal,2)-VLOOKUP(T73,subquincenal,2),0)</f>
        <v>-114.53703999999998</v>
      </c>
      <c r="Z73" s="81">
        <f>TRUNC(IF(Y73&gt;0.01,Y73,0),2)</f>
        <v>0</v>
      </c>
      <c r="AA73" s="85">
        <f>TRUNC(IF(Y73&lt;0.01,-Y73,0),2)</f>
        <v>114.53</v>
      </c>
      <c r="AB73" s="85">
        <f>U73-W73-X73-Z73+AA73</f>
        <v>1800</v>
      </c>
      <c r="AC73" s="86" t="e">
        <f>#REF!</f>
        <v>#REF!</v>
      </c>
      <c r="AD73" s="73"/>
      <c r="AE73" s="40">
        <v>39</v>
      </c>
      <c r="AG73" s="91"/>
    </row>
    <row r="74" spans="1:33" s="40" customFormat="1" ht="36" customHeight="1">
      <c r="A74" s="105"/>
      <c r="B74" s="188"/>
      <c r="C74" s="188"/>
      <c r="D74" s="76" t="s">
        <v>684</v>
      </c>
      <c r="E74" s="65"/>
      <c r="F74" s="65"/>
      <c r="G74" s="66"/>
      <c r="H74" s="103" t="s">
        <v>685</v>
      </c>
      <c r="I74" s="72">
        <v>15</v>
      </c>
      <c r="J74" s="72" t="s">
        <v>272</v>
      </c>
      <c r="K74" s="72"/>
      <c r="L74" s="73">
        <v>0</v>
      </c>
      <c r="M74" s="74">
        <v>0</v>
      </c>
      <c r="N74" s="80">
        <v>183.15199999999999</v>
      </c>
      <c r="O74" s="81">
        <f>TRUNC(N74*I74,2)</f>
        <v>2747.28</v>
      </c>
      <c r="P74" s="82">
        <f>TRUNC(N74*I74*0.04,2)</f>
        <v>109.89</v>
      </c>
      <c r="Q74" s="81">
        <f>TRUNC(N74*0.07*I74,2)</f>
        <v>192.3</v>
      </c>
      <c r="R74" s="83">
        <f>L74</f>
        <v>0</v>
      </c>
      <c r="S74" s="81">
        <f>TRUNC(Q74+P74+(IF(R74&gt;519,519,R74))+IF(K74=0,0,K74*N74),2)</f>
        <v>302.19</v>
      </c>
      <c r="T74" s="81">
        <f>TRUNC((IF(K74=0,I74*N74,(I74-K74)*N74))+(IF(R74&lt;519,0,R74-519)),2)+M74</f>
        <v>2747.28</v>
      </c>
      <c r="U74" s="81">
        <f>S74+T74</f>
        <v>3049.4700000000003</v>
      </c>
      <c r="V74" s="81"/>
      <c r="W74" s="81"/>
      <c r="X74" s="81">
        <v>0</v>
      </c>
      <c r="Y74" s="84">
        <f>IF(N74&gt;0.01,(T74-VLOOKUP(T74,quincenal,1))*VLOOKUP(T74,quincenal,3)+VLOOKUP(T74,quincenal,2)-VLOOKUP(T74,subquincenal,2),0)</f>
        <v>49.470976000000007</v>
      </c>
      <c r="Z74" s="81">
        <f>TRUNC(IF(Y74&gt;0.01,Y74,0),2)</f>
        <v>49.47</v>
      </c>
      <c r="AA74" s="85">
        <f>TRUNC(IF(Y74&lt;0.01,-Y74,0),2)</f>
        <v>0</v>
      </c>
      <c r="AB74" s="85">
        <f>U74-W74-X74-Z74+AA74</f>
        <v>3000.0000000000005</v>
      </c>
      <c r="AC74" s="193"/>
      <c r="AD74" s="73"/>
      <c r="AE74" s="40">
        <v>40</v>
      </c>
      <c r="AG74" s="91"/>
    </row>
    <row r="75" spans="1:33" s="40" customFormat="1" ht="12.75">
      <c r="A75" s="105"/>
      <c r="B75" s="180"/>
      <c r="C75" s="180"/>
      <c r="D75" s="95" t="s">
        <v>288</v>
      </c>
      <c r="E75" s="43"/>
      <c r="F75" s="43"/>
      <c r="G75" s="44"/>
      <c r="H75" s="96"/>
      <c r="I75" s="51"/>
      <c r="J75" s="51"/>
      <c r="K75" s="51"/>
      <c r="L75" s="52"/>
      <c r="M75" s="53"/>
      <c r="N75" s="97"/>
      <c r="O75" s="98">
        <f>SUM(O72:O74)</f>
        <v>10348.74</v>
      </c>
      <c r="P75" s="98">
        <f t="shared" ref="P75:AB75" si="103">SUM(P72:P74)</f>
        <v>413.94</v>
      </c>
      <c r="Q75" s="98">
        <f t="shared" si="103"/>
        <v>724.40000000000009</v>
      </c>
      <c r="R75" s="98">
        <f t="shared" si="103"/>
        <v>0</v>
      </c>
      <c r="S75" s="98">
        <f t="shared" si="103"/>
        <v>1138.3399999999999</v>
      </c>
      <c r="T75" s="98">
        <f t="shared" si="103"/>
        <v>10348.74</v>
      </c>
      <c r="U75" s="98">
        <f t="shared" si="103"/>
        <v>11487.080000000002</v>
      </c>
      <c r="V75" s="98">
        <f t="shared" si="103"/>
        <v>0</v>
      </c>
      <c r="W75" s="98">
        <f t="shared" si="103"/>
        <v>0</v>
      </c>
      <c r="X75" s="98">
        <f t="shared" si="103"/>
        <v>0</v>
      </c>
      <c r="Y75" s="98">
        <f t="shared" si="103"/>
        <v>687.07569600000033</v>
      </c>
      <c r="Z75" s="98">
        <f t="shared" si="103"/>
        <v>801.61</v>
      </c>
      <c r="AA75" s="98">
        <f t="shared" si="103"/>
        <v>114.53</v>
      </c>
      <c r="AB75" s="98">
        <f t="shared" si="103"/>
        <v>10800</v>
      </c>
      <c r="AC75" s="99"/>
      <c r="AD75" s="52"/>
    </row>
    <row r="76" spans="1:33" s="40" customFormat="1" ht="12.75">
      <c r="A76" s="105"/>
      <c r="B76" s="180"/>
      <c r="C76" s="180"/>
      <c r="D76" s="95"/>
      <c r="E76" s="43"/>
      <c r="F76" s="43"/>
      <c r="G76" s="44"/>
      <c r="H76" s="96"/>
      <c r="I76" s="51"/>
      <c r="J76" s="51"/>
      <c r="K76" s="51"/>
      <c r="L76" s="52"/>
      <c r="M76" s="53"/>
      <c r="N76" s="97"/>
      <c r="O76" s="98"/>
      <c r="P76" s="98"/>
      <c r="Q76" s="98"/>
      <c r="R76" s="98"/>
      <c r="S76" s="98"/>
      <c r="T76" s="98"/>
      <c r="U76" s="98"/>
      <c r="V76" s="98"/>
      <c r="W76" s="90"/>
      <c r="X76" s="90"/>
      <c r="Y76" s="98"/>
      <c r="Z76" s="98"/>
      <c r="AA76" s="98"/>
      <c r="AB76" s="98"/>
      <c r="AC76" s="99"/>
      <c r="AD76" s="52"/>
    </row>
    <row r="77" spans="1:33" s="40" customFormat="1" ht="12.75">
      <c r="A77" s="105"/>
      <c r="B77" s="180"/>
      <c r="C77" s="180"/>
      <c r="D77" s="95" t="s">
        <v>381</v>
      </c>
      <c r="E77" s="43"/>
      <c r="F77" s="43"/>
      <c r="G77" s="44"/>
      <c r="H77" s="96"/>
      <c r="I77" s="51"/>
      <c r="J77" s="51"/>
      <c r="K77" s="51"/>
      <c r="L77" s="52"/>
      <c r="M77" s="53"/>
      <c r="N77" s="97"/>
      <c r="O77" s="98"/>
      <c r="P77" s="98"/>
      <c r="Q77" s="98"/>
      <c r="R77" s="98"/>
      <c r="S77" s="98"/>
      <c r="T77" s="98"/>
      <c r="U77" s="98"/>
      <c r="V77" s="98"/>
      <c r="W77" s="90"/>
      <c r="X77" s="90"/>
      <c r="Y77" s="98"/>
      <c r="Z77" s="98"/>
      <c r="AA77" s="98"/>
      <c r="AB77" s="98"/>
      <c r="AC77" s="99"/>
      <c r="AD77" s="52"/>
    </row>
    <row r="78" spans="1:33" s="40" customFormat="1" ht="36" customHeight="1">
      <c r="A78" s="105">
        <v>37</v>
      </c>
      <c r="B78" s="71"/>
      <c r="C78" s="71"/>
      <c r="D78" s="64" t="s">
        <v>651</v>
      </c>
      <c r="E78" s="65"/>
      <c r="F78" s="65"/>
      <c r="G78" s="66"/>
      <c r="H78" s="103" t="s">
        <v>652</v>
      </c>
      <c r="I78" s="72">
        <v>15</v>
      </c>
      <c r="J78" s="72" t="s">
        <v>272</v>
      </c>
      <c r="K78" s="72"/>
      <c r="L78" s="73">
        <v>0</v>
      </c>
      <c r="M78" s="74">
        <v>0</v>
      </c>
      <c r="N78" s="80">
        <v>217.7938</v>
      </c>
      <c r="O78" s="81">
        <f>TRUNC(N78*I78,2)</f>
        <v>3266.9</v>
      </c>
      <c r="P78" s="82">
        <f>TRUNC(N78*I78*0.04,2)</f>
        <v>130.66999999999999</v>
      </c>
      <c r="Q78" s="81">
        <f>TRUNC(N78*0.07*I78,2)</f>
        <v>228.68</v>
      </c>
      <c r="R78" s="83">
        <f>L78</f>
        <v>0</v>
      </c>
      <c r="S78" s="81">
        <f>TRUNC(Q78+P78+(IF(R78&gt;519,519,R78))+IF(K78=0,0,K78*N78),2)</f>
        <v>359.35</v>
      </c>
      <c r="T78" s="81">
        <f>TRUNC((IF(K78=0,I78*N78,(I78-K78)*N78))+(IF(R78&lt;519,0,R78-519)),2)+M78</f>
        <v>3266.9</v>
      </c>
      <c r="U78" s="81">
        <f>S78+T78</f>
        <v>3626.25</v>
      </c>
      <c r="V78" s="81"/>
      <c r="W78" s="81"/>
      <c r="X78" s="81">
        <v>0</v>
      </c>
      <c r="Y78" s="84">
        <f>IF(N78&gt;0.01,(T78-VLOOKUP(T78,quincenal,1))*VLOOKUP(T78,quincenal,3)+VLOOKUP(T78,quincenal,2)-VLOOKUP(T78,subquincenal,2),0)</f>
        <v>126.25563199999996</v>
      </c>
      <c r="Z78" s="81">
        <f>TRUNC(IF(Y78&gt;0.01,Y78,0),2)</f>
        <v>126.25</v>
      </c>
      <c r="AA78" s="85">
        <f>TRUNC(IF(Y78&lt;0.01,-Y78,0),2)</f>
        <v>0</v>
      </c>
      <c r="AB78" s="85">
        <f>U78-W78-X78-Z78+AA78</f>
        <v>3500</v>
      </c>
      <c r="AC78" s="99"/>
      <c r="AD78" s="73"/>
      <c r="AE78" s="40">
        <v>41</v>
      </c>
    </row>
    <row r="79" spans="1:33" s="40" customFormat="1" ht="36" customHeight="1">
      <c r="A79" s="105"/>
      <c r="B79" s="71"/>
      <c r="C79" s="71"/>
      <c r="D79" s="64" t="s">
        <v>643</v>
      </c>
      <c r="E79" s="65"/>
      <c r="F79" s="65"/>
      <c r="G79" s="66"/>
      <c r="H79" s="103" t="s">
        <v>644</v>
      </c>
      <c r="I79" s="72">
        <v>15</v>
      </c>
      <c r="J79" s="72" t="s">
        <v>272</v>
      </c>
      <c r="K79" s="72"/>
      <c r="L79" s="73">
        <v>0</v>
      </c>
      <c r="M79" s="74">
        <v>0</v>
      </c>
      <c r="N79" s="80">
        <v>260.28699999999998</v>
      </c>
      <c r="O79" s="81">
        <f>TRUNC(N79*I79,2)</f>
        <v>3904.3</v>
      </c>
      <c r="P79" s="82">
        <f>TRUNC(N79*I79*0.04,2)</f>
        <v>156.16999999999999</v>
      </c>
      <c r="Q79" s="81">
        <f>TRUNC(N79*0.07*I79,2)</f>
        <v>273.3</v>
      </c>
      <c r="R79" s="83">
        <f>L79</f>
        <v>0</v>
      </c>
      <c r="S79" s="81">
        <f>TRUNC(Q79+P79+(IF(R79&gt;519,519,R79))+IF(K79=0,0,K79*N79),2)</f>
        <v>429.47</v>
      </c>
      <c r="T79" s="81">
        <f>TRUNC((IF(K79=0,I79*N79,(I79-K79)*N79))+(IF(R79&lt;519,0,R79-519)),2)+M79</f>
        <v>3904.3</v>
      </c>
      <c r="U79" s="81">
        <f>S79+T79</f>
        <v>4333.7700000000004</v>
      </c>
      <c r="V79" s="81"/>
      <c r="W79" s="81"/>
      <c r="X79" s="81">
        <v>0</v>
      </c>
      <c r="Y79" s="84">
        <f>IF(N79&gt;0.01,(T79-VLOOKUP(T79,quincenal,1))*VLOOKUP(T79,quincenal,3)+VLOOKUP(T79,quincenal,2)-VLOOKUP(T79,subquincenal,2),0)</f>
        <v>333.77639999999997</v>
      </c>
      <c r="Z79" s="81">
        <f>TRUNC(IF(Y79&gt;0.01,Y79,0),2)</f>
        <v>333.77</v>
      </c>
      <c r="AA79" s="85">
        <f>TRUNC(IF(Y79&lt;0.01,-Y79,0),2)</f>
        <v>0</v>
      </c>
      <c r="AB79" s="85">
        <f>U79-W79-X79-Z79+AA79</f>
        <v>4000.0000000000005</v>
      </c>
      <c r="AC79" s="99"/>
      <c r="AD79" s="73"/>
      <c r="AE79" s="40">
        <v>42</v>
      </c>
    </row>
    <row r="80" spans="1:33" s="40" customFormat="1" ht="36" customHeight="1">
      <c r="A80" s="105"/>
      <c r="B80" s="71"/>
      <c r="C80" s="71"/>
      <c r="D80" s="64" t="s">
        <v>642</v>
      </c>
      <c r="E80" s="65"/>
      <c r="F80" s="65"/>
      <c r="G80" s="66"/>
      <c r="H80" s="103" t="s">
        <v>633</v>
      </c>
      <c r="I80" s="72">
        <v>15</v>
      </c>
      <c r="J80" s="72" t="s">
        <v>272</v>
      </c>
      <c r="K80" s="72"/>
      <c r="L80" s="73">
        <v>0</v>
      </c>
      <c r="M80" s="74">
        <v>0</v>
      </c>
      <c r="N80" s="80">
        <v>183.15199999999999</v>
      </c>
      <c r="O80" s="81">
        <f>TRUNC(N80*I80,2)</f>
        <v>2747.28</v>
      </c>
      <c r="P80" s="82">
        <f>TRUNC(N80*I80*0.04,2)</f>
        <v>109.89</v>
      </c>
      <c r="Q80" s="81">
        <f>TRUNC(N80*0.07*I80,2)</f>
        <v>192.3</v>
      </c>
      <c r="R80" s="83">
        <f>L80</f>
        <v>0</v>
      </c>
      <c r="S80" s="81">
        <f>TRUNC(Q80+P80+(IF(R80&gt;519,519,R80))+IF(K80=0,0,K80*N80),2)</f>
        <v>302.19</v>
      </c>
      <c r="T80" s="81">
        <f>TRUNC((IF(K80=0,I80*N80,(I80-K80)*N80))+(IF(R80&lt;519,0,R80-519)),2)+M80</f>
        <v>2747.28</v>
      </c>
      <c r="U80" s="81">
        <f>S80+T80</f>
        <v>3049.4700000000003</v>
      </c>
      <c r="V80" s="81"/>
      <c r="W80" s="81"/>
      <c r="X80" s="81">
        <v>0</v>
      </c>
      <c r="Y80" s="84">
        <f>IF(N80&gt;0.01,(T80-VLOOKUP(T80,quincenal,1))*VLOOKUP(T80,quincenal,3)+VLOOKUP(T80,quincenal,2)-VLOOKUP(T80,subquincenal,2),0)</f>
        <v>49.470976000000007</v>
      </c>
      <c r="Z80" s="81">
        <f>TRUNC(IF(Y80&gt;0.01,Y80,0),2)</f>
        <v>49.47</v>
      </c>
      <c r="AA80" s="85">
        <f>TRUNC(IF(Y80&lt;0.01,-Y80,0),2)</f>
        <v>0</v>
      </c>
      <c r="AB80" s="85">
        <f>U80-W80-X80-Z80+AA80</f>
        <v>3000.0000000000005</v>
      </c>
      <c r="AC80" s="99"/>
      <c r="AD80" s="73"/>
      <c r="AE80" s="40">
        <v>43</v>
      </c>
    </row>
    <row r="81" spans="1:33" s="40" customFormat="1" ht="36" customHeight="1">
      <c r="A81" s="105">
        <v>37</v>
      </c>
      <c r="B81" s="71"/>
      <c r="C81" s="71"/>
      <c r="D81" s="64" t="s">
        <v>735</v>
      </c>
      <c r="E81" s="65"/>
      <c r="F81" s="65"/>
      <c r="G81" s="66"/>
      <c r="H81" s="103" t="s">
        <v>736</v>
      </c>
      <c r="I81" s="72">
        <v>6</v>
      </c>
      <c r="J81" s="72" t="s">
        <v>272</v>
      </c>
      <c r="K81" s="72"/>
      <c r="L81" s="73">
        <v>0</v>
      </c>
      <c r="M81" s="74">
        <v>0</v>
      </c>
      <c r="N81" s="80">
        <v>191.14279999999999</v>
      </c>
      <c r="O81" s="81">
        <f>TRUNC(N81*I81,2)</f>
        <v>1146.8499999999999</v>
      </c>
      <c r="P81" s="82">
        <f>TRUNC(N81*I81*0.04,2)</f>
        <v>45.87</v>
      </c>
      <c r="Q81" s="81">
        <f>TRUNC(N81*0.07*I81,2)</f>
        <v>80.27</v>
      </c>
      <c r="R81" s="83">
        <f>L81</f>
        <v>0</v>
      </c>
      <c r="S81" s="81">
        <f>TRUNC(Q81+P81+(IF(R81&gt;519,519,R81))+IF(K81=0,0,K81*N81),2)</f>
        <v>126.14</v>
      </c>
      <c r="T81" s="81">
        <f>TRUNC((IF(K81=0,I81*N81,(I81-K81)*N81))+(IF(R81&lt;519,0,R81-519)),2)+M81</f>
        <v>1146.8499999999999</v>
      </c>
      <c r="U81" s="81">
        <f>S81+T81</f>
        <v>1272.99</v>
      </c>
      <c r="V81" s="81"/>
      <c r="W81" s="81"/>
      <c r="X81" s="81">
        <v>0</v>
      </c>
      <c r="Y81" s="84">
        <f>IF(N81&gt;0.01,(T81-VLOOKUP(T81,quincenal,1))*VLOOKUP(T81,quincenal,3)+VLOOKUP(T81,quincenal,2)-VLOOKUP(T81,subquincenal,2),0)</f>
        <v>-138.31943999999999</v>
      </c>
      <c r="Z81" s="81">
        <f>TRUNC(IF(Y81&gt;0.01,Y81,0),2)</f>
        <v>0</v>
      </c>
      <c r="AA81" s="85">
        <f>TRUNC(IF(Y81&lt;0.01,-Y81,0),2)</f>
        <v>138.31</v>
      </c>
      <c r="AB81" s="85">
        <f>U81-W81-X81-Z81+AA81</f>
        <v>1411.3</v>
      </c>
      <c r="AC81" s="86" t="e">
        <f>#REF!</f>
        <v>#REF!</v>
      </c>
      <c r="AD81" s="73"/>
      <c r="AE81" s="40">
        <v>44</v>
      </c>
      <c r="AG81" s="91"/>
    </row>
    <row r="82" spans="1:33" s="40" customFormat="1" ht="12.75">
      <c r="A82" s="105"/>
      <c r="B82" s="180"/>
      <c r="C82" s="180"/>
      <c r="D82" s="95" t="s">
        <v>381</v>
      </c>
      <c r="E82" s="43"/>
      <c r="F82" s="43"/>
      <c r="G82" s="44"/>
      <c r="H82" s="96"/>
      <c r="I82" s="51"/>
      <c r="J82" s="51"/>
      <c r="K82" s="51"/>
      <c r="L82" s="52"/>
      <c r="M82" s="53"/>
      <c r="N82" s="97"/>
      <c r="O82" s="90">
        <f>SUM(O78:O81)</f>
        <v>11065.330000000002</v>
      </c>
      <c r="P82" s="90">
        <f t="shared" ref="P82:AB82" si="104">SUM(P78:P81)</f>
        <v>442.59999999999997</v>
      </c>
      <c r="Q82" s="90">
        <f t="shared" si="104"/>
        <v>774.55</v>
      </c>
      <c r="R82" s="90">
        <f t="shared" si="104"/>
        <v>0</v>
      </c>
      <c r="S82" s="90">
        <f t="shared" si="104"/>
        <v>1217.1500000000001</v>
      </c>
      <c r="T82" s="90">
        <f t="shared" si="104"/>
        <v>11065.330000000002</v>
      </c>
      <c r="U82" s="90">
        <f t="shared" si="104"/>
        <v>12282.480000000001</v>
      </c>
      <c r="V82" s="90">
        <f t="shared" si="104"/>
        <v>0</v>
      </c>
      <c r="W82" s="90">
        <f t="shared" si="104"/>
        <v>0</v>
      </c>
      <c r="X82" s="90">
        <f t="shared" si="104"/>
        <v>0</v>
      </c>
      <c r="Y82" s="90">
        <f t="shared" si="104"/>
        <v>371.18356799999998</v>
      </c>
      <c r="Z82" s="90">
        <f t="shared" si="104"/>
        <v>509.49</v>
      </c>
      <c r="AA82" s="90">
        <f t="shared" si="104"/>
        <v>138.31</v>
      </c>
      <c r="AB82" s="90">
        <f t="shared" si="104"/>
        <v>11911.3</v>
      </c>
      <c r="AC82" s="99"/>
      <c r="AD82" s="52"/>
    </row>
    <row r="83" spans="1:33" s="40" customFormat="1" ht="12.75">
      <c r="A83" s="105"/>
      <c r="B83" s="180"/>
      <c r="C83" s="180"/>
      <c r="D83" s="95"/>
      <c r="E83" s="43"/>
      <c r="F83" s="43"/>
      <c r="G83" s="44"/>
      <c r="H83" s="96"/>
      <c r="I83" s="51"/>
      <c r="J83" s="51"/>
      <c r="K83" s="51"/>
      <c r="L83" s="52"/>
      <c r="M83" s="53"/>
      <c r="N83" s="97"/>
      <c r="O83" s="88"/>
      <c r="P83" s="181"/>
      <c r="Q83" s="88"/>
      <c r="R83" s="146"/>
      <c r="S83" s="88"/>
      <c r="T83" s="88"/>
      <c r="U83" s="88"/>
      <c r="V83" s="88"/>
      <c r="W83" s="88"/>
      <c r="X83" s="88"/>
      <c r="Y83" s="91"/>
      <c r="Z83" s="88"/>
      <c r="AA83" s="182"/>
      <c r="AB83" s="182"/>
      <c r="AC83" s="99"/>
      <c r="AD83" s="52"/>
    </row>
    <row r="84" spans="1:33" s="40" customFormat="1" ht="12.75">
      <c r="A84" s="105"/>
      <c r="B84" s="180"/>
      <c r="C84" s="180"/>
      <c r="D84" s="95" t="s">
        <v>294</v>
      </c>
      <c r="E84" s="43"/>
      <c r="F84" s="43"/>
      <c r="G84" s="44"/>
      <c r="H84" s="96"/>
      <c r="I84" s="51"/>
      <c r="J84" s="51"/>
      <c r="K84" s="51"/>
      <c r="L84" s="52"/>
      <c r="M84" s="53"/>
      <c r="N84" s="97"/>
      <c r="O84" s="88"/>
      <c r="P84" s="181"/>
      <c r="Q84" s="88"/>
      <c r="R84" s="146"/>
      <c r="S84" s="88"/>
      <c r="T84" s="88"/>
      <c r="U84" s="88"/>
      <c r="V84" s="88"/>
      <c r="W84" s="88"/>
      <c r="X84" s="88"/>
      <c r="Y84" s="91"/>
      <c r="Z84" s="88"/>
      <c r="AA84" s="182"/>
      <c r="AB84" s="182"/>
      <c r="AC84" s="99"/>
      <c r="AD84" s="52"/>
    </row>
    <row r="85" spans="1:33" s="40" customFormat="1" ht="36" customHeight="1">
      <c r="A85" s="105">
        <v>38</v>
      </c>
      <c r="B85" s="180"/>
      <c r="C85" s="180"/>
      <c r="D85" s="64" t="s">
        <v>595</v>
      </c>
      <c r="E85" s="65"/>
      <c r="F85" s="65"/>
      <c r="G85" s="66"/>
      <c r="H85" s="107" t="s">
        <v>40</v>
      </c>
      <c r="I85" s="72">
        <v>15</v>
      </c>
      <c r="J85" s="72" t="s">
        <v>272</v>
      </c>
      <c r="K85" s="72"/>
      <c r="L85" s="73">
        <v>0</v>
      </c>
      <c r="M85" s="74">
        <v>0</v>
      </c>
      <c r="N85" s="80">
        <v>479.90589999999997</v>
      </c>
      <c r="O85" s="81">
        <f t="shared" ref="O85:O90" si="105">TRUNC(N85*I85,2)</f>
        <v>7198.58</v>
      </c>
      <c r="P85" s="82">
        <f t="shared" ref="P85:P90" si="106">TRUNC(N85*I85*0.04,2)</f>
        <v>287.94</v>
      </c>
      <c r="Q85" s="81">
        <f t="shared" ref="Q85:Q90" si="107">TRUNC(N85*0.07*I85,2)</f>
        <v>503.9</v>
      </c>
      <c r="R85" s="83">
        <f t="shared" ref="R85:R90" si="108">L85</f>
        <v>0</v>
      </c>
      <c r="S85" s="81">
        <f t="shared" ref="S85:S90" si="109">TRUNC(Q85+P85+(IF(R85&gt;519,519,R85))+IF(K85=0,0,K85*N85),2)</f>
        <v>791.84</v>
      </c>
      <c r="T85" s="81">
        <f t="shared" ref="T85:T90" si="110">TRUNC((IF(K85=0,I85*N85,(I85-K85)*N85))+(IF(R85&lt;519,0,R85-519)),2)+M85</f>
        <v>7198.58</v>
      </c>
      <c r="U85" s="81">
        <f t="shared" ref="U85:U90" si="111">S85+T85</f>
        <v>7990.42</v>
      </c>
      <c r="V85" s="81"/>
      <c r="W85" s="81"/>
      <c r="X85" s="81">
        <v>0</v>
      </c>
      <c r="Y85" s="84">
        <f t="shared" ref="Y85:Y90" si="112">IF(N85&gt;0.01,(T85-VLOOKUP(T85,quincenal,1))*VLOOKUP(T85,quincenal,3)+VLOOKUP(T85,quincenal,2)-VLOOKUP(T85,subquincenal,2),0)</f>
        <v>990.42751200000009</v>
      </c>
      <c r="Z85" s="81">
        <f t="shared" ref="Z85:Z90" si="113">TRUNC(IF(Y85&gt;0.01,Y85,0),2)</f>
        <v>990.42</v>
      </c>
      <c r="AA85" s="85">
        <f>TRUNC(IF(Y85&lt;0.01,-Y85,0),2)</f>
        <v>0</v>
      </c>
      <c r="AB85" s="85">
        <f t="shared" ref="AB85:AB90" si="114">U85-W85-X85-Z85+AA85</f>
        <v>7000</v>
      </c>
      <c r="AC85" s="99"/>
      <c r="AD85" s="73"/>
      <c r="AE85" s="40">
        <v>45</v>
      </c>
      <c r="AG85" s="91"/>
    </row>
    <row r="86" spans="1:33" s="40" customFormat="1" ht="36" customHeight="1">
      <c r="A86" s="105"/>
      <c r="B86" s="180"/>
      <c r="C86" s="180"/>
      <c r="D86" s="64" t="s">
        <v>441</v>
      </c>
      <c r="E86" s="65"/>
      <c r="F86" s="65"/>
      <c r="G86" s="66"/>
      <c r="H86" s="133" t="s">
        <v>654</v>
      </c>
      <c r="I86" s="72">
        <v>15</v>
      </c>
      <c r="J86" s="72" t="s">
        <v>272</v>
      </c>
      <c r="K86" s="72"/>
      <c r="L86" s="73">
        <v>0</v>
      </c>
      <c r="M86" s="74">
        <v>0</v>
      </c>
      <c r="N86" s="80">
        <v>442.72</v>
      </c>
      <c r="O86" s="81">
        <f t="shared" si="105"/>
        <v>6640.8</v>
      </c>
      <c r="P86" s="82">
        <f t="shared" si="106"/>
        <v>265.63</v>
      </c>
      <c r="Q86" s="81">
        <f t="shared" si="107"/>
        <v>464.85</v>
      </c>
      <c r="R86" s="83">
        <f t="shared" si="108"/>
        <v>0</v>
      </c>
      <c r="S86" s="81">
        <f t="shared" si="109"/>
        <v>730.48</v>
      </c>
      <c r="T86" s="81">
        <f t="shared" si="110"/>
        <v>6640.8</v>
      </c>
      <c r="U86" s="81">
        <f t="shared" si="111"/>
        <v>7371.2800000000007</v>
      </c>
      <c r="V86" s="81"/>
      <c r="W86" s="81"/>
      <c r="X86" s="81">
        <v>0</v>
      </c>
      <c r="Y86" s="84">
        <f t="shared" si="112"/>
        <v>871.28570400000012</v>
      </c>
      <c r="Z86" s="81">
        <f t="shared" si="113"/>
        <v>871.28</v>
      </c>
      <c r="AA86" s="85">
        <f>TRUNC(IF(Y86&lt;0.01,-Y86,0),2)</f>
        <v>0</v>
      </c>
      <c r="AB86" s="85">
        <f t="shared" si="114"/>
        <v>6500.0000000000009</v>
      </c>
      <c r="AC86" s="99"/>
      <c r="AD86" s="73"/>
      <c r="AE86" s="40">
        <v>46</v>
      </c>
      <c r="AG86" s="91"/>
    </row>
    <row r="87" spans="1:33" s="40" customFormat="1" ht="36" customHeight="1">
      <c r="A87" s="105"/>
      <c r="B87" s="180"/>
      <c r="C87" s="180"/>
      <c r="D87" s="64" t="s">
        <v>378</v>
      </c>
      <c r="E87" s="147" t="s">
        <v>419</v>
      </c>
      <c r="F87" s="147" t="s">
        <v>420</v>
      </c>
      <c r="G87" s="184"/>
      <c r="H87" s="103" t="s">
        <v>533</v>
      </c>
      <c r="I87" s="185">
        <v>15</v>
      </c>
      <c r="J87" s="194" t="s">
        <v>272</v>
      </c>
      <c r="K87" s="190"/>
      <c r="L87" s="190">
        <v>0</v>
      </c>
      <c r="M87" s="190">
        <v>0</v>
      </c>
      <c r="N87" s="151">
        <f>3086/15</f>
        <v>205.73333333333332</v>
      </c>
      <c r="O87" s="81">
        <f t="shared" si="105"/>
        <v>3086</v>
      </c>
      <c r="P87" s="82">
        <f t="shared" si="106"/>
        <v>123.44</v>
      </c>
      <c r="Q87" s="81">
        <f t="shared" si="107"/>
        <v>216.02</v>
      </c>
      <c r="R87" s="83">
        <f t="shared" si="108"/>
        <v>0</v>
      </c>
      <c r="S87" s="81">
        <f t="shared" si="109"/>
        <v>339.46</v>
      </c>
      <c r="T87" s="81">
        <f t="shared" si="110"/>
        <v>3086</v>
      </c>
      <c r="U87" s="81">
        <f t="shared" si="111"/>
        <v>3425.46</v>
      </c>
      <c r="V87" s="81"/>
      <c r="W87" s="81"/>
      <c r="X87" s="81">
        <v>0</v>
      </c>
      <c r="Y87" s="84">
        <f t="shared" si="112"/>
        <v>106.57371199999997</v>
      </c>
      <c r="Z87" s="81">
        <f t="shared" si="113"/>
        <v>106.57</v>
      </c>
      <c r="AA87" s="85">
        <f>TRUNC(IF(Y87&lt;0.01,-Y87,0),2)</f>
        <v>0</v>
      </c>
      <c r="AB87" s="85">
        <f t="shared" si="114"/>
        <v>3318.89</v>
      </c>
      <c r="AC87" s="86"/>
      <c r="AD87" s="73"/>
      <c r="AE87" s="40">
        <v>47</v>
      </c>
      <c r="AG87" s="91"/>
    </row>
    <row r="88" spans="1:33" s="40" customFormat="1" ht="36" customHeight="1">
      <c r="A88" s="105"/>
      <c r="B88" s="180"/>
      <c r="C88" s="180"/>
      <c r="D88" s="126" t="s">
        <v>257</v>
      </c>
      <c r="E88" s="147" t="s">
        <v>444</v>
      </c>
      <c r="F88" s="147" t="s">
        <v>445</v>
      </c>
      <c r="G88" s="195">
        <v>39083</v>
      </c>
      <c r="H88" s="107" t="s">
        <v>326</v>
      </c>
      <c r="I88" s="132">
        <v>15</v>
      </c>
      <c r="J88" s="132" t="s">
        <v>272</v>
      </c>
      <c r="K88" s="132"/>
      <c r="L88" s="138">
        <v>0</v>
      </c>
      <c r="M88" s="139">
        <v>0</v>
      </c>
      <c r="N88" s="80">
        <f>2788/15</f>
        <v>185.86666666666667</v>
      </c>
      <c r="O88" s="83">
        <f t="shared" si="105"/>
        <v>2788</v>
      </c>
      <c r="P88" s="141">
        <f t="shared" si="106"/>
        <v>111.52</v>
      </c>
      <c r="Q88" s="83">
        <f t="shared" si="107"/>
        <v>195.16</v>
      </c>
      <c r="R88" s="83">
        <f t="shared" si="108"/>
        <v>0</v>
      </c>
      <c r="S88" s="83">
        <f t="shared" si="109"/>
        <v>306.68</v>
      </c>
      <c r="T88" s="83">
        <f t="shared" si="110"/>
        <v>2788</v>
      </c>
      <c r="U88" s="83">
        <f t="shared" si="111"/>
        <v>3094.68</v>
      </c>
      <c r="V88" s="83"/>
      <c r="W88" s="83"/>
      <c r="X88" s="83">
        <v>0</v>
      </c>
      <c r="Y88" s="84">
        <f t="shared" si="112"/>
        <v>53.90131199999999</v>
      </c>
      <c r="Z88" s="83">
        <f t="shared" si="113"/>
        <v>53.9</v>
      </c>
      <c r="AA88" s="142">
        <v>0</v>
      </c>
      <c r="AB88" s="142">
        <f t="shared" si="114"/>
        <v>3040.7799999999997</v>
      </c>
      <c r="AC88" s="143">
        <f>[2]PORTADA!$D$10</f>
        <v>1</v>
      </c>
      <c r="AD88" s="138"/>
      <c r="AE88" s="40">
        <v>48</v>
      </c>
      <c r="AG88" s="91"/>
    </row>
    <row r="89" spans="1:33" s="40" customFormat="1" ht="36" customHeight="1">
      <c r="A89" s="105"/>
      <c r="B89" s="180"/>
      <c r="C89" s="180"/>
      <c r="D89" s="64" t="s">
        <v>70</v>
      </c>
      <c r="E89" s="147" t="s">
        <v>208</v>
      </c>
      <c r="F89" s="147" t="s">
        <v>245</v>
      </c>
      <c r="G89" s="148">
        <v>35796</v>
      </c>
      <c r="H89" s="103" t="s">
        <v>30</v>
      </c>
      <c r="I89" s="132">
        <v>15</v>
      </c>
      <c r="J89" s="132" t="s">
        <v>272</v>
      </c>
      <c r="K89" s="132"/>
      <c r="L89" s="138">
        <v>0</v>
      </c>
      <c r="M89" s="139">
        <v>0</v>
      </c>
      <c r="N89" s="80">
        <f>3261/15</f>
        <v>217.4</v>
      </c>
      <c r="O89" s="83">
        <f t="shared" si="105"/>
        <v>3261</v>
      </c>
      <c r="P89" s="141">
        <f t="shared" si="106"/>
        <v>130.44</v>
      </c>
      <c r="Q89" s="83">
        <f t="shared" si="107"/>
        <v>228.27</v>
      </c>
      <c r="R89" s="83">
        <f t="shared" si="108"/>
        <v>0</v>
      </c>
      <c r="S89" s="83">
        <f t="shared" si="109"/>
        <v>358.71</v>
      </c>
      <c r="T89" s="83">
        <f t="shared" si="110"/>
        <v>3261</v>
      </c>
      <c r="U89" s="83">
        <f t="shared" si="111"/>
        <v>3619.71</v>
      </c>
      <c r="V89" s="83"/>
      <c r="W89" s="83"/>
      <c r="X89" s="83">
        <v>0</v>
      </c>
      <c r="Y89" s="84">
        <f t="shared" si="112"/>
        <v>125.61371199999999</v>
      </c>
      <c r="Z89" s="83">
        <f t="shared" si="113"/>
        <v>125.61</v>
      </c>
      <c r="AA89" s="142">
        <f>TRUNC(IF(Y89&lt;0.01,-Y89,0),2)</f>
        <v>0</v>
      </c>
      <c r="AB89" s="142">
        <f t="shared" si="114"/>
        <v>3494.1</v>
      </c>
      <c r="AC89" s="143">
        <f>[2]PORTADA!$D$10</f>
        <v>1</v>
      </c>
      <c r="AD89" s="138"/>
      <c r="AE89" s="40">
        <v>49</v>
      </c>
      <c r="AG89" s="91"/>
    </row>
    <row r="90" spans="1:33" s="40" customFormat="1" ht="36" customHeight="1">
      <c r="A90" s="105"/>
      <c r="B90" s="180"/>
      <c r="C90" s="180"/>
      <c r="D90" s="64" t="s">
        <v>248</v>
      </c>
      <c r="E90" s="147" t="s">
        <v>418</v>
      </c>
      <c r="F90" s="147" t="s">
        <v>446</v>
      </c>
      <c r="G90" s="66"/>
      <c r="H90" s="107" t="s">
        <v>19</v>
      </c>
      <c r="I90" s="132">
        <v>15</v>
      </c>
      <c r="J90" s="132" t="s">
        <v>272</v>
      </c>
      <c r="K90" s="132"/>
      <c r="L90" s="138">
        <v>0</v>
      </c>
      <c r="M90" s="139">
        <v>0</v>
      </c>
      <c r="N90" s="80">
        <f>2658/15</f>
        <v>177.2</v>
      </c>
      <c r="O90" s="83">
        <f t="shared" si="105"/>
        <v>2658</v>
      </c>
      <c r="P90" s="141">
        <f t="shared" si="106"/>
        <v>106.32</v>
      </c>
      <c r="Q90" s="83">
        <f t="shared" si="107"/>
        <v>186.06</v>
      </c>
      <c r="R90" s="83">
        <f t="shared" si="108"/>
        <v>0</v>
      </c>
      <c r="S90" s="83">
        <f t="shared" si="109"/>
        <v>292.38</v>
      </c>
      <c r="T90" s="83">
        <f t="shared" si="110"/>
        <v>2658</v>
      </c>
      <c r="U90" s="83">
        <f t="shared" si="111"/>
        <v>2950.38</v>
      </c>
      <c r="V90" s="83"/>
      <c r="W90" s="83">
        <v>0</v>
      </c>
      <c r="X90" s="83">
        <v>0</v>
      </c>
      <c r="Y90" s="84">
        <f t="shared" si="112"/>
        <v>39.757311999999985</v>
      </c>
      <c r="Z90" s="83">
        <f t="shared" si="113"/>
        <v>39.75</v>
      </c>
      <c r="AA90" s="142">
        <f>TRUNC(IF(Y90&lt;0.01,-Y90,0),2)</f>
        <v>0</v>
      </c>
      <c r="AB90" s="142">
        <f t="shared" si="114"/>
        <v>2910.63</v>
      </c>
      <c r="AC90" s="143">
        <f>[2]PORTADA!$D$10</f>
        <v>1</v>
      </c>
      <c r="AD90" s="138"/>
      <c r="AE90" s="40">
        <v>50</v>
      </c>
      <c r="AG90" s="91"/>
    </row>
    <row r="91" spans="1:33" s="40" customFormat="1" ht="12.75">
      <c r="A91" s="105"/>
      <c r="B91" s="180"/>
      <c r="C91" s="180"/>
      <c r="D91" s="95" t="s">
        <v>294</v>
      </c>
      <c r="E91" s="43"/>
      <c r="F91" s="43"/>
      <c r="G91" s="44"/>
      <c r="H91" s="96"/>
      <c r="I91" s="51"/>
      <c r="J91" s="51"/>
      <c r="K91" s="51"/>
      <c r="L91" s="52"/>
      <c r="M91" s="53"/>
      <c r="N91" s="97"/>
      <c r="O91" s="98">
        <f>SUM(O85:O90)</f>
        <v>25632.38</v>
      </c>
      <c r="P91" s="98">
        <f t="shared" ref="P91:AB91" si="115">SUM(P85:P90)</f>
        <v>1025.29</v>
      </c>
      <c r="Q91" s="98">
        <f t="shared" si="115"/>
        <v>1794.26</v>
      </c>
      <c r="R91" s="98">
        <f t="shared" si="115"/>
        <v>0</v>
      </c>
      <c r="S91" s="98">
        <f t="shared" si="115"/>
        <v>2819.55</v>
      </c>
      <c r="T91" s="98">
        <f t="shared" si="115"/>
        <v>25632.38</v>
      </c>
      <c r="U91" s="98">
        <f t="shared" si="115"/>
        <v>28451.93</v>
      </c>
      <c r="V91" s="98">
        <f t="shared" si="115"/>
        <v>0</v>
      </c>
      <c r="W91" s="98">
        <f t="shared" si="115"/>
        <v>0</v>
      </c>
      <c r="X91" s="98">
        <f t="shared" si="115"/>
        <v>0</v>
      </c>
      <c r="Y91" s="98">
        <f t="shared" si="115"/>
        <v>2187.559264</v>
      </c>
      <c r="Z91" s="98">
        <f t="shared" si="115"/>
        <v>2187.5299999999997</v>
      </c>
      <c r="AA91" s="98">
        <f t="shared" si="115"/>
        <v>0</v>
      </c>
      <c r="AB91" s="98">
        <f t="shared" si="115"/>
        <v>26264.399999999998</v>
      </c>
      <c r="AC91" s="99"/>
      <c r="AD91" s="52"/>
    </row>
    <row r="92" spans="1:33" s="40" customFormat="1">
      <c r="A92" s="105"/>
      <c r="B92" s="180"/>
      <c r="C92" s="180"/>
      <c r="D92" s="127"/>
      <c r="E92" s="43"/>
      <c r="F92" s="43"/>
      <c r="G92" s="44"/>
      <c r="H92" s="96"/>
      <c r="I92" s="51"/>
      <c r="J92" s="51"/>
      <c r="K92" s="51"/>
      <c r="L92" s="52"/>
      <c r="M92" s="53"/>
      <c r="N92" s="97"/>
      <c r="O92" s="88"/>
      <c r="P92" s="181"/>
      <c r="Q92" s="88"/>
      <c r="R92" s="146"/>
      <c r="S92" s="88"/>
      <c r="T92" s="88"/>
      <c r="U92" s="88"/>
      <c r="V92" s="88"/>
      <c r="W92" s="88"/>
      <c r="X92" s="88"/>
      <c r="Y92" s="91"/>
      <c r="Z92" s="88"/>
      <c r="AA92" s="182"/>
      <c r="AB92" s="182"/>
      <c r="AC92" s="99"/>
      <c r="AD92" s="52"/>
    </row>
    <row r="93" spans="1:33" s="40" customFormat="1" ht="12.75">
      <c r="A93" s="105"/>
      <c r="B93" s="180"/>
      <c r="C93" s="180"/>
      <c r="D93" s="95" t="s">
        <v>295</v>
      </c>
      <c r="E93" s="43"/>
      <c r="F93" s="43"/>
      <c r="G93" s="44"/>
      <c r="H93" s="96"/>
      <c r="I93" s="51"/>
      <c r="J93" s="51"/>
      <c r="K93" s="51"/>
      <c r="L93" s="52"/>
      <c r="M93" s="53"/>
      <c r="N93" s="97"/>
      <c r="O93" s="88"/>
      <c r="P93" s="181"/>
      <c r="Q93" s="88"/>
      <c r="R93" s="146"/>
      <c r="S93" s="88"/>
      <c r="T93" s="88"/>
      <c r="U93" s="88"/>
      <c r="V93" s="88"/>
      <c r="W93" s="88"/>
      <c r="X93" s="88"/>
      <c r="Y93" s="91"/>
      <c r="Z93" s="88"/>
      <c r="AA93" s="182"/>
      <c r="AB93" s="182"/>
      <c r="AC93" s="99"/>
      <c r="AD93" s="52"/>
    </row>
    <row r="94" spans="1:33" s="40" customFormat="1" ht="36" customHeight="1">
      <c r="A94" s="105"/>
      <c r="B94" s="180"/>
      <c r="C94" s="180"/>
      <c r="D94" s="64" t="s">
        <v>43</v>
      </c>
      <c r="E94" s="147" t="s">
        <v>188</v>
      </c>
      <c r="F94" s="147" t="s">
        <v>223</v>
      </c>
      <c r="G94" s="148">
        <v>36893</v>
      </c>
      <c r="H94" s="103" t="s">
        <v>44</v>
      </c>
      <c r="I94" s="132">
        <v>9</v>
      </c>
      <c r="J94" s="132" t="s">
        <v>272</v>
      </c>
      <c r="K94" s="132"/>
      <c r="L94" s="138">
        <v>0</v>
      </c>
      <c r="M94" s="139">
        <v>0</v>
      </c>
      <c r="N94" s="80">
        <v>370.2</v>
      </c>
      <c r="O94" s="83">
        <f>TRUNC(N94*I94,2)</f>
        <v>3331.8</v>
      </c>
      <c r="P94" s="141">
        <f>TRUNC(N94*I94*0.04,2)</f>
        <v>133.27000000000001</v>
      </c>
      <c r="Q94" s="83">
        <f>TRUNC(N94*0.07*I94,2)</f>
        <v>233.22</v>
      </c>
      <c r="R94" s="83">
        <f>L94</f>
        <v>0</v>
      </c>
      <c r="S94" s="83">
        <f>TRUNC(Q94+P94+(IF(R94&gt;519,519,R94))+IF(K94=0,0,K94*N94),2)</f>
        <v>366.49</v>
      </c>
      <c r="T94" s="83">
        <f>TRUNC((IF(K94=0,I94*N94,(I94-K94)*N94))+(IF(R94&lt;519,0,R94-519)),2)+M94</f>
        <v>3331.8</v>
      </c>
      <c r="U94" s="83">
        <f>S94+T94</f>
        <v>3698.29</v>
      </c>
      <c r="V94" s="83"/>
      <c r="W94" s="83"/>
      <c r="X94" s="83">
        <v>0</v>
      </c>
      <c r="Y94" s="84">
        <f>IF(N94&gt;0.01,(T94-VLOOKUP(T94,quincenal,1))*VLOOKUP(T94,quincenal,3)+VLOOKUP(T94,quincenal,2)-VLOOKUP(T94,subquincenal,2),0)</f>
        <v>133.31675199999998</v>
      </c>
      <c r="Z94" s="83">
        <f>TRUNC(IF(Y94&gt;0.01,Y94,0),2)</f>
        <v>133.31</v>
      </c>
      <c r="AA94" s="142">
        <f>TRUNC(IF(Y94&lt;0.01,-Y94,0),2)</f>
        <v>0</v>
      </c>
      <c r="AB94" s="142">
        <f>U94-W94-X94-Z94+AA94</f>
        <v>3564.98</v>
      </c>
      <c r="AC94" s="143">
        <f>[2]PORTADA!$D$10</f>
        <v>1</v>
      </c>
      <c r="AD94" s="138"/>
      <c r="AE94" s="40">
        <v>51</v>
      </c>
    </row>
    <row r="95" spans="1:33" s="40" customFormat="1" ht="36" customHeight="1">
      <c r="A95" s="105"/>
      <c r="B95" s="180"/>
      <c r="C95" s="180"/>
      <c r="D95" s="64" t="s">
        <v>46</v>
      </c>
      <c r="E95" s="147" t="s">
        <v>182</v>
      </c>
      <c r="F95" s="147" t="s">
        <v>218</v>
      </c>
      <c r="G95" s="148">
        <v>39182</v>
      </c>
      <c r="H95" s="103" t="s">
        <v>42</v>
      </c>
      <c r="I95" s="132">
        <v>15</v>
      </c>
      <c r="J95" s="132" t="s">
        <v>272</v>
      </c>
      <c r="K95" s="132"/>
      <c r="L95" s="138">
        <v>0</v>
      </c>
      <c r="M95" s="139">
        <v>0</v>
      </c>
      <c r="N95" s="80">
        <v>211.816</v>
      </c>
      <c r="O95" s="83">
        <f>TRUNC(N95*I95,2)</f>
        <v>3177.24</v>
      </c>
      <c r="P95" s="141">
        <f>TRUNC(N95*I95*0.04,2)</f>
        <v>127.08</v>
      </c>
      <c r="Q95" s="83">
        <f>TRUNC(N95*0.07*I95,2)</f>
        <v>222.4</v>
      </c>
      <c r="R95" s="83">
        <f>L95</f>
        <v>0</v>
      </c>
      <c r="S95" s="83">
        <f>TRUNC(Q95+P95+(IF(R95&gt;519,519,R95))+IF(K95=0,0,K95*N95),2)</f>
        <v>349.48</v>
      </c>
      <c r="T95" s="83">
        <f>TRUNC((IF(K95=0,I95*N95,(I95-K95)*N95))+(IF(R95&lt;519,0,R95-519)),2)+M95</f>
        <v>3177.24</v>
      </c>
      <c r="U95" s="83">
        <f>S95+T95</f>
        <v>3526.72</v>
      </c>
      <c r="V95" s="83"/>
      <c r="W95" s="83"/>
      <c r="X95" s="83">
        <v>0</v>
      </c>
      <c r="Y95" s="84">
        <f>IF(N95&gt;0.01,(T95-VLOOKUP(T95,quincenal,1))*VLOOKUP(T95,quincenal,3)+VLOOKUP(T95,quincenal,2)-VLOOKUP(T95,subquincenal,2),0)</f>
        <v>116.50062399999996</v>
      </c>
      <c r="Z95" s="83">
        <f>TRUNC(IF(Y95&gt;0.01,Y95,0),2)</f>
        <v>116.5</v>
      </c>
      <c r="AA95" s="142">
        <f>TRUNC(IF(Y95&lt;0.01,-Y95,0),2)</f>
        <v>0</v>
      </c>
      <c r="AB95" s="142">
        <f>U95-W95-X95-Z95+AA95</f>
        <v>3410.22</v>
      </c>
      <c r="AC95" s="143">
        <f>[2]PORTADA!$D$10</f>
        <v>1</v>
      </c>
      <c r="AD95" s="138"/>
      <c r="AE95" s="40">
        <v>52</v>
      </c>
    </row>
    <row r="96" spans="1:33" s="40" customFormat="1" ht="36" customHeight="1">
      <c r="A96" s="105"/>
      <c r="B96" s="180"/>
      <c r="C96" s="180"/>
      <c r="D96" s="126" t="s">
        <v>47</v>
      </c>
      <c r="E96" s="147" t="s">
        <v>196</v>
      </c>
      <c r="F96" s="147" t="s">
        <v>230</v>
      </c>
      <c r="G96" s="148">
        <v>36892</v>
      </c>
      <c r="H96" s="107" t="s">
        <v>315</v>
      </c>
      <c r="I96" s="132">
        <v>15</v>
      </c>
      <c r="J96" s="132" t="s">
        <v>272</v>
      </c>
      <c r="K96" s="132"/>
      <c r="L96" s="138">
        <v>0</v>
      </c>
      <c r="M96" s="139">
        <v>0</v>
      </c>
      <c r="N96" s="80">
        <v>211.816</v>
      </c>
      <c r="O96" s="83">
        <f>TRUNC(N96*I96,2)</f>
        <v>3177.24</v>
      </c>
      <c r="P96" s="141">
        <f>TRUNC(N96*I96*0.04,2)</f>
        <v>127.08</v>
      </c>
      <c r="Q96" s="83">
        <f>TRUNC(N96*0.07*I96,2)</f>
        <v>222.4</v>
      </c>
      <c r="R96" s="83">
        <f>L96</f>
        <v>0</v>
      </c>
      <c r="S96" s="83">
        <f>TRUNC(Q96+P96+(IF(R96&gt;519,519,R96))+IF(K96=0,0,K96*N96),2)</f>
        <v>349.48</v>
      </c>
      <c r="T96" s="83">
        <f>TRUNC((IF(K96=0,I96*N96,(I96-K96)*N96))+(IF(R96&lt;519,0,R96-519)),2)+M96</f>
        <v>3177.24</v>
      </c>
      <c r="U96" s="83">
        <f>S96+T96</f>
        <v>3526.72</v>
      </c>
      <c r="V96" s="83"/>
      <c r="W96" s="83"/>
      <c r="X96" s="83">
        <v>0</v>
      </c>
      <c r="Y96" s="84">
        <f>IF(N96&gt;0.01,(T96-VLOOKUP(T96,quincenal,1))*VLOOKUP(T96,quincenal,3)+VLOOKUP(T96,quincenal,2)-VLOOKUP(T96,subquincenal,2),0)</f>
        <v>116.50062399999996</v>
      </c>
      <c r="Z96" s="83">
        <f>TRUNC(IF(Y96&gt;0.01,Y96,0),2)</f>
        <v>116.5</v>
      </c>
      <c r="AA96" s="142">
        <f>TRUNC(IF(Y96&lt;0.01,-Y96,0),2)</f>
        <v>0</v>
      </c>
      <c r="AB96" s="142">
        <f>U96-W96-X96-Z96+AA96</f>
        <v>3410.22</v>
      </c>
      <c r="AC96" s="143">
        <f>[2]PORTADA!$D$10</f>
        <v>1</v>
      </c>
      <c r="AD96" s="138"/>
      <c r="AE96" s="40">
        <v>53</v>
      </c>
    </row>
    <row r="97" spans="1:33" s="40" customFormat="1" ht="36" customHeight="1">
      <c r="A97" s="105"/>
      <c r="B97" s="180"/>
      <c r="C97" s="180"/>
      <c r="D97" s="125" t="s">
        <v>276</v>
      </c>
      <c r="E97" s="102" t="s">
        <v>481</v>
      </c>
      <c r="F97" s="102" t="s">
        <v>482</v>
      </c>
      <c r="G97" s="66"/>
      <c r="H97" s="107" t="s">
        <v>48</v>
      </c>
      <c r="I97" s="132">
        <v>15</v>
      </c>
      <c r="J97" s="132" t="s">
        <v>272</v>
      </c>
      <c r="K97" s="132"/>
      <c r="L97" s="138">
        <v>0</v>
      </c>
      <c r="M97" s="139">
        <v>0</v>
      </c>
      <c r="N97" s="80">
        <v>216.7235</v>
      </c>
      <c r="O97" s="83">
        <f>TRUNC(N97*I97,2)</f>
        <v>3250.85</v>
      </c>
      <c r="P97" s="141">
        <f>TRUNC(N97*I97*0.04,2)</f>
        <v>130.03</v>
      </c>
      <c r="Q97" s="83">
        <f>TRUNC(N97*0.07*I97,2)</f>
        <v>227.55</v>
      </c>
      <c r="R97" s="83">
        <f>L97</f>
        <v>0</v>
      </c>
      <c r="S97" s="83">
        <f>TRUNC(Q97+P97+(IF(R97&gt;519,519,R97))+IF(K97=0,0,K97*N97),2)</f>
        <v>357.58</v>
      </c>
      <c r="T97" s="83">
        <f>TRUNC((IF(K97=0,I97*N97,(I97-K97)*N97))+(IF(R97&lt;519,0,R97-519)),2)+M97</f>
        <v>3250.85</v>
      </c>
      <c r="U97" s="83">
        <f>S97+T97</f>
        <v>3608.43</v>
      </c>
      <c r="V97" s="83"/>
      <c r="W97" s="83">
        <v>0</v>
      </c>
      <c r="X97" s="83">
        <v>0</v>
      </c>
      <c r="Y97" s="84">
        <f>IF(N97&gt;0.01,(T97-VLOOKUP(T97,quincenal,1))*VLOOKUP(T97,quincenal,3)+VLOOKUP(T97,quincenal,2)-VLOOKUP(T97,subquincenal,2),0)</f>
        <v>124.50939199999996</v>
      </c>
      <c r="Z97" s="83">
        <f>TRUNC(IF(Y97&gt;0.01,Y97,0),2)</f>
        <v>124.5</v>
      </c>
      <c r="AA97" s="142">
        <f>TRUNC(IF(Y97&lt;0.01,-Y97,0),2)</f>
        <v>0</v>
      </c>
      <c r="AB97" s="142">
        <f>U97-W97-X97-Z97+AA97</f>
        <v>3483.93</v>
      </c>
      <c r="AC97" s="143">
        <f>[2]PORTADA!$D$10</f>
        <v>1</v>
      </c>
      <c r="AD97" s="138"/>
      <c r="AE97" s="40">
        <v>54</v>
      </c>
    </row>
    <row r="98" spans="1:33" s="40" customFormat="1" ht="12.75">
      <c r="A98" s="105"/>
      <c r="B98" s="180"/>
      <c r="C98" s="180"/>
      <c r="D98" s="95" t="s">
        <v>295</v>
      </c>
      <c r="E98" s="43"/>
      <c r="F98" s="43"/>
      <c r="G98" s="44"/>
      <c r="H98" s="96"/>
      <c r="I98" s="51"/>
      <c r="J98" s="51"/>
      <c r="K98" s="51"/>
      <c r="L98" s="52"/>
      <c r="M98" s="53"/>
      <c r="N98" s="97"/>
      <c r="O98" s="90">
        <f t="shared" ref="O98:AB98" si="116">SUM(O94:O97)</f>
        <v>12937.13</v>
      </c>
      <c r="P98" s="90">
        <f t="shared" si="116"/>
        <v>517.46</v>
      </c>
      <c r="Q98" s="90">
        <f t="shared" si="116"/>
        <v>905.56999999999994</v>
      </c>
      <c r="R98" s="90">
        <f t="shared" si="116"/>
        <v>0</v>
      </c>
      <c r="S98" s="90">
        <f t="shared" si="116"/>
        <v>1423.03</v>
      </c>
      <c r="T98" s="90">
        <f t="shared" si="116"/>
        <v>12937.13</v>
      </c>
      <c r="U98" s="90">
        <f t="shared" si="116"/>
        <v>14360.16</v>
      </c>
      <c r="V98" s="90">
        <f t="shared" si="116"/>
        <v>0</v>
      </c>
      <c r="W98" s="90">
        <f t="shared" si="116"/>
        <v>0</v>
      </c>
      <c r="X98" s="90">
        <f t="shared" si="116"/>
        <v>0</v>
      </c>
      <c r="Y98" s="90">
        <f t="shared" si="116"/>
        <v>490.8273919999998</v>
      </c>
      <c r="Z98" s="90">
        <f t="shared" si="116"/>
        <v>490.81</v>
      </c>
      <c r="AA98" s="90">
        <f t="shared" si="116"/>
        <v>0</v>
      </c>
      <c r="AB98" s="90">
        <f t="shared" si="116"/>
        <v>13869.35</v>
      </c>
      <c r="AC98" s="99"/>
      <c r="AD98" s="52"/>
    </row>
    <row r="99" spans="1:33" s="40" customFormat="1">
      <c r="A99" s="105"/>
      <c r="B99" s="180"/>
      <c r="C99" s="180"/>
      <c r="D99" s="127"/>
      <c r="E99" s="43"/>
      <c r="F99" s="43"/>
      <c r="G99" s="44"/>
      <c r="H99" s="96"/>
      <c r="I99" s="51"/>
      <c r="J99" s="51"/>
      <c r="K99" s="51"/>
      <c r="L99" s="52"/>
      <c r="M99" s="53"/>
      <c r="N99" s="97"/>
      <c r="O99" s="88"/>
      <c r="P99" s="181"/>
      <c r="Q99" s="88"/>
      <c r="R99" s="146"/>
      <c r="S99" s="88"/>
      <c r="T99" s="88"/>
      <c r="U99" s="88"/>
      <c r="V99" s="88"/>
      <c r="W99" s="88"/>
      <c r="X99" s="88"/>
      <c r="Y99" s="91"/>
      <c r="Z99" s="88"/>
      <c r="AA99" s="182"/>
      <c r="AB99" s="182"/>
      <c r="AC99" s="99"/>
      <c r="AD99" s="52"/>
    </row>
    <row r="100" spans="1:33" s="40" customFormat="1" ht="12.75">
      <c r="A100" s="105"/>
      <c r="B100" s="180"/>
      <c r="C100" s="180"/>
      <c r="D100" s="95" t="s">
        <v>296</v>
      </c>
      <c r="E100" s="43"/>
      <c r="F100" s="43"/>
      <c r="G100" s="44"/>
      <c r="H100" s="96"/>
      <c r="I100" s="51"/>
      <c r="J100" s="51"/>
      <c r="K100" s="51"/>
      <c r="L100" s="52"/>
      <c r="M100" s="53"/>
      <c r="N100" s="97"/>
      <c r="O100" s="88"/>
      <c r="P100" s="181"/>
      <c r="Q100" s="88"/>
      <c r="R100" s="146"/>
      <c r="S100" s="88"/>
      <c r="T100" s="88"/>
      <c r="U100" s="88"/>
      <c r="V100" s="88"/>
      <c r="W100" s="88"/>
      <c r="X100" s="88"/>
      <c r="Y100" s="91"/>
      <c r="Z100" s="88"/>
      <c r="AA100" s="182"/>
      <c r="AB100" s="182"/>
      <c r="AC100" s="99"/>
      <c r="AD100" s="52"/>
    </row>
    <row r="101" spans="1:33" s="40" customFormat="1" ht="36" customHeight="1">
      <c r="A101" s="105">
        <v>46</v>
      </c>
      <c r="B101" s="71" t="s">
        <v>21</v>
      </c>
      <c r="C101" s="71" t="s">
        <v>21</v>
      </c>
      <c r="D101" s="64" t="s">
        <v>624</v>
      </c>
      <c r="E101" s="65"/>
      <c r="F101" s="65"/>
      <c r="G101" s="66"/>
      <c r="H101" s="103" t="s">
        <v>60</v>
      </c>
      <c r="I101" s="72">
        <v>15</v>
      </c>
      <c r="J101" s="72" t="s">
        <v>272</v>
      </c>
      <c r="K101" s="72"/>
      <c r="L101" s="73">
        <v>0</v>
      </c>
      <c r="M101" s="74">
        <v>0</v>
      </c>
      <c r="N101" s="80">
        <v>101.23</v>
      </c>
      <c r="O101" s="81">
        <f t="shared" ref="O101:O104" si="117">TRUNC(N101*I101,2)</f>
        <v>1518.45</v>
      </c>
      <c r="P101" s="82">
        <f t="shared" ref="P101:P104" si="118">TRUNC(N101*I101*0.04,2)</f>
        <v>60.73</v>
      </c>
      <c r="Q101" s="81">
        <f t="shared" ref="Q101:Q104" si="119">TRUNC(N101*0.07*I101,2)</f>
        <v>106.29</v>
      </c>
      <c r="R101" s="83">
        <f t="shared" ref="R101:R104" si="120">L101</f>
        <v>0</v>
      </c>
      <c r="S101" s="81">
        <f t="shared" ref="S101:S104" si="121">TRUNC(Q101+P101+(IF(R101&gt;519,519,R101))+IF(K101=0,0,K101*N101),2)</f>
        <v>167.02</v>
      </c>
      <c r="T101" s="81">
        <f t="shared" ref="T101:T104" si="122">TRUNC((IF(K101=0,I101*N101,(I101-K101)*N101))+(IF(R101&lt;519,0,R101-519)),2)+M101</f>
        <v>1518.45</v>
      </c>
      <c r="U101" s="81">
        <f t="shared" ref="U101:U104" si="123">S101+T101</f>
        <v>1685.47</v>
      </c>
      <c r="V101" s="81"/>
      <c r="W101" s="81"/>
      <c r="X101" s="81">
        <v>0</v>
      </c>
      <c r="Y101" s="84">
        <f t="shared" ref="Y101:Y104" si="124">IF(N101&gt;0.01,(T101-VLOOKUP(T101,quincenal,1))*VLOOKUP(T101,quincenal,3)+VLOOKUP(T101,quincenal,2)-VLOOKUP(T101,subquincenal,2),0)</f>
        <v>-114.53703999999998</v>
      </c>
      <c r="Z101" s="81">
        <f t="shared" ref="Z101" si="125">TRUNC(IF(Y101&gt;0.01,Y101,0),2)</f>
        <v>0</v>
      </c>
      <c r="AA101" s="85">
        <f t="shared" ref="AA101" si="126">TRUNC(IF(Y101&lt;0.01,-Y101,0),2)</f>
        <v>114.53</v>
      </c>
      <c r="AB101" s="85">
        <f t="shared" ref="AB101:AB104" si="127">U101-W101-X101-Z101+AA101</f>
        <v>1800</v>
      </c>
      <c r="AC101" s="86" t="e">
        <f>#REF!</f>
        <v>#REF!</v>
      </c>
      <c r="AD101" s="73"/>
      <c r="AE101" s="40">
        <v>55</v>
      </c>
      <c r="AG101" s="91"/>
    </row>
    <row r="102" spans="1:33" s="40" customFormat="1" ht="36" customHeight="1">
      <c r="A102" s="105">
        <v>47</v>
      </c>
      <c r="B102" s="71" t="s">
        <v>21</v>
      </c>
      <c r="C102" s="71" t="s">
        <v>21</v>
      </c>
      <c r="D102" s="64" t="s">
        <v>626</v>
      </c>
      <c r="E102" s="150" t="s">
        <v>485</v>
      </c>
      <c r="F102" s="65"/>
      <c r="G102" s="66"/>
      <c r="H102" s="103" t="s">
        <v>62</v>
      </c>
      <c r="I102" s="72">
        <v>15</v>
      </c>
      <c r="J102" s="72" t="s">
        <v>272</v>
      </c>
      <c r="K102" s="72"/>
      <c r="L102" s="73">
        <v>0</v>
      </c>
      <c r="M102" s="74">
        <v>0</v>
      </c>
      <c r="N102" s="80">
        <v>82.109700000000004</v>
      </c>
      <c r="O102" s="81">
        <f t="shared" si="117"/>
        <v>1231.6400000000001</v>
      </c>
      <c r="P102" s="82">
        <f t="shared" si="118"/>
        <v>49.26</v>
      </c>
      <c r="Q102" s="81">
        <f t="shared" si="119"/>
        <v>86.21</v>
      </c>
      <c r="R102" s="83">
        <f t="shared" si="120"/>
        <v>0</v>
      </c>
      <c r="S102" s="81">
        <f t="shared" si="121"/>
        <v>135.47</v>
      </c>
      <c r="T102" s="81">
        <f t="shared" si="122"/>
        <v>1231.6400000000001</v>
      </c>
      <c r="U102" s="81">
        <f t="shared" si="123"/>
        <v>1367.1100000000001</v>
      </c>
      <c r="V102" s="81"/>
      <c r="W102" s="81"/>
      <c r="X102" s="81">
        <v>0</v>
      </c>
      <c r="Y102" s="84">
        <f t="shared" si="124"/>
        <v>-132.89287999999999</v>
      </c>
      <c r="Z102" s="81">
        <f t="shared" ref="Z102" si="128">TRUNC(IF(Y102&gt;0.01,Y102,0),2)</f>
        <v>0</v>
      </c>
      <c r="AA102" s="85">
        <f t="shared" ref="AA102" si="129">TRUNC(IF(Y102&lt;0.01,-Y102,0),2)</f>
        <v>132.88999999999999</v>
      </c>
      <c r="AB102" s="85">
        <f t="shared" si="127"/>
        <v>1500</v>
      </c>
      <c r="AC102" s="86" t="e">
        <f>#REF!</f>
        <v>#REF!</v>
      </c>
      <c r="AD102" s="73"/>
      <c r="AE102" s="40">
        <v>56</v>
      </c>
      <c r="AG102" s="91"/>
    </row>
    <row r="103" spans="1:33" s="40" customFormat="1" ht="36" customHeight="1">
      <c r="A103" s="105">
        <v>48</v>
      </c>
      <c r="B103" s="71" t="s">
        <v>21</v>
      </c>
      <c r="C103" s="71" t="s">
        <v>21</v>
      </c>
      <c r="D103" s="125" t="s">
        <v>627</v>
      </c>
      <c r="E103" s="101" t="s">
        <v>483</v>
      </c>
      <c r="F103" s="102" t="s">
        <v>484</v>
      </c>
      <c r="G103" s="66"/>
      <c r="H103" s="103" t="s">
        <v>310</v>
      </c>
      <c r="I103" s="72">
        <v>15</v>
      </c>
      <c r="J103" s="72" t="s">
        <v>272</v>
      </c>
      <c r="K103" s="72"/>
      <c r="L103" s="73">
        <v>0</v>
      </c>
      <c r="M103" s="74">
        <v>0</v>
      </c>
      <c r="N103" s="80">
        <v>75.735900000000001</v>
      </c>
      <c r="O103" s="81">
        <f t="shared" si="117"/>
        <v>1136.03</v>
      </c>
      <c r="P103" s="82">
        <f t="shared" si="118"/>
        <v>45.44</v>
      </c>
      <c r="Q103" s="81">
        <f t="shared" si="119"/>
        <v>79.52</v>
      </c>
      <c r="R103" s="83">
        <f t="shared" si="120"/>
        <v>0</v>
      </c>
      <c r="S103" s="81">
        <f t="shared" si="121"/>
        <v>124.96</v>
      </c>
      <c r="T103" s="81">
        <f t="shared" si="122"/>
        <v>1136.03</v>
      </c>
      <c r="U103" s="81">
        <f t="shared" si="123"/>
        <v>1260.99</v>
      </c>
      <c r="V103" s="81"/>
      <c r="W103" s="81"/>
      <c r="X103" s="81">
        <v>0</v>
      </c>
      <c r="Y103" s="84">
        <f t="shared" si="124"/>
        <v>-139.01191999999998</v>
      </c>
      <c r="Z103" s="81">
        <f t="shared" ref="Z103" si="130">TRUNC(IF(Y103&gt;0.01,Y103,0),2)</f>
        <v>0</v>
      </c>
      <c r="AA103" s="85">
        <f t="shared" ref="AA103" si="131">TRUNC(IF(Y103&lt;0.01,-Y103,0),2)</f>
        <v>139.01</v>
      </c>
      <c r="AB103" s="85">
        <f t="shared" si="127"/>
        <v>1400</v>
      </c>
      <c r="AC103" s="86" t="e">
        <f>#REF!</f>
        <v>#REF!</v>
      </c>
      <c r="AD103" s="73"/>
      <c r="AE103" s="40">
        <v>57</v>
      </c>
      <c r="AG103" s="91"/>
    </row>
    <row r="104" spans="1:33" s="40" customFormat="1" ht="36" customHeight="1">
      <c r="A104" s="105">
        <v>49</v>
      </c>
      <c r="B104" s="71" t="s">
        <v>21</v>
      </c>
      <c r="C104" s="71" t="s">
        <v>21</v>
      </c>
      <c r="D104" s="64" t="s">
        <v>374</v>
      </c>
      <c r="E104" s="147" t="s">
        <v>425</v>
      </c>
      <c r="F104" s="147" t="s">
        <v>447</v>
      </c>
      <c r="G104" s="66"/>
      <c r="H104" s="103" t="s">
        <v>63</v>
      </c>
      <c r="I104" s="72">
        <v>15</v>
      </c>
      <c r="J104" s="72" t="s">
        <v>272</v>
      </c>
      <c r="K104" s="72"/>
      <c r="L104" s="73">
        <v>0</v>
      </c>
      <c r="M104" s="74">
        <v>0</v>
      </c>
      <c r="N104" s="80">
        <v>88.483400000000003</v>
      </c>
      <c r="O104" s="81">
        <f t="shared" si="117"/>
        <v>1327.25</v>
      </c>
      <c r="P104" s="82">
        <f t="shared" si="118"/>
        <v>53.09</v>
      </c>
      <c r="Q104" s="81">
        <f t="shared" si="119"/>
        <v>92.9</v>
      </c>
      <c r="R104" s="83">
        <f t="shared" si="120"/>
        <v>0</v>
      </c>
      <c r="S104" s="81">
        <f t="shared" si="121"/>
        <v>145.99</v>
      </c>
      <c r="T104" s="81">
        <f t="shared" si="122"/>
        <v>1327.25</v>
      </c>
      <c r="U104" s="81">
        <f t="shared" si="123"/>
        <v>1473.24</v>
      </c>
      <c r="V104" s="81"/>
      <c r="W104" s="81"/>
      <c r="X104" s="81">
        <v>0</v>
      </c>
      <c r="Y104" s="84">
        <f t="shared" si="124"/>
        <v>-126.77383999999998</v>
      </c>
      <c r="Z104" s="81">
        <f t="shared" ref="Z104:Z106" si="132">TRUNC(IF(Y104&gt;0.01,Y104,0),2)</f>
        <v>0</v>
      </c>
      <c r="AA104" s="85">
        <f t="shared" ref="AA104:AA106" si="133">TRUNC(IF(Y104&lt;0.01,-Y104,0),2)</f>
        <v>126.77</v>
      </c>
      <c r="AB104" s="85">
        <f t="shared" si="127"/>
        <v>1600.01</v>
      </c>
      <c r="AC104" s="86" t="e">
        <f>#REF!</f>
        <v>#REF!</v>
      </c>
      <c r="AD104" s="73"/>
      <c r="AE104" s="40">
        <v>58</v>
      </c>
      <c r="AG104" s="91"/>
    </row>
    <row r="105" spans="1:33" s="40" customFormat="1" ht="36" customHeight="1">
      <c r="A105" s="105"/>
      <c r="B105" s="71"/>
      <c r="C105" s="71"/>
      <c r="D105" s="64" t="s">
        <v>698</v>
      </c>
      <c r="E105" s="147"/>
      <c r="F105" s="147"/>
      <c r="G105" s="66"/>
      <c r="H105" s="103" t="s">
        <v>699</v>
      </c>
      <c r="I105" s="72">
        <v>15</v>
      </c>
      <c r="J105" s="72" t="s">
        <v>272</v>
      </c>
      <c r="K105" s="72"/>
      <c r="L105" s="73">
        <v>0</v>
      </c>
      <c r="M105" s="74">
        <v>0</v>
      </c>
      <c r="N105" s="80">
        <v>82.109700000000004</v>
      </c>
      <c r="O105" s="81">
        <f t="shared" ref="O105:O106" si="134">TRUNC(N105*I105,2)</f>
        <v>1231.6400000000001</v>
      </c>
      <c r="P105" s="82">
        <f t="shared" ref="P105:P106" si="135">TRUNC(N105*I105*0.04,2)</f>
        <v>49.26</v>
      </c>
      <c r="Q105" s="81">
        <f t="shared" ref="Q105:Q106" si="136">TRUNC(N105*0.07*I105,2)</f>
        <v>86.21</v>
      </c>
      <c r="R105" s="83">
        <f t="shared" ref="R105:R106" si="137">L105</f>
        <v>0</v>
      </c>
      <c r="S105" s="81">
        <f t="shared" ref="S105:S106" si="138">TRUNC(Q105+P105+(IF(R105&gt;519,519,R105))+IF(K105=0,0,K105*N105),2)</f>
        <v>135.47</v>
      </c>
      <c r="T105" s="81">
        <f t="shared" ref="T105:T106" si="139">TRUNC((IF(K105=0,I105*N105,(I105-K105)*N105))+(IF(R105&lt;519,0,R105-519)),2)+M105</f>
        <v>1231.6400000000001</v>
      </c>
      <c r="U105" s="81">
        <f t="shared" ref="U105:U106" si="140">S105+T105</f>
        <v>1367.1100000000001</v>
      </c>
      <c r="V105" s="81"/>
      <c r="W105" s="81"/>
      <c r="X105" s="81">
        <v>0</v>
      </c>
      <c r="Y105" s="84">
        <f t="shared" ref="Y105:Y106" si="141">IF(N105&gt;0.01,(T105-VLOOKUP(T105,quincenal,1))*VLOOKUP(T105,quincenal,3)+VLOOKUP(T105,quincenal,2)-VLOOKUP(T105,subquincenal,2),0)</f>
        <v>-132.89287999999999</v>
      </c>
      <c r="Z105" s="81">
        <f t="shared" si="132"/>
        <v>0</v>
      </c>
      <c r="AA105" s="85">
        <f t="shared" si="133"/>
        <v>132.88999999999999</v>
      </c>
      <c r="AB105" s="85">
        <f t="shared" ref="AB105:AB106" si="142">U105-W105-X105-Z105+AA105</f>
        <v>1500</v>
      </c>
      <c r="AC105" s="86"/>
      <c r="AD105" s="73"/>
      <c r="AE105" s="40">
        <v>59</v>
      </c>
      <c r="AG105" s="91"/>
    </row>
    <row r="106" spans="1:33" s="40" customFormat="1" ht="36" customHeight="1">
      <c r="A106" s="105"/>
      <c r="B106" s="71"/>
      <c r="C106" s="71"/>
      <c r="D106" s="64" t="s">
        <v>708</v>
      </c>
      <c r="E106" s="147"/>
      <c r="F106" s="147"/>
      <c r="G106" s="66"/>
      <c r="H106" s="103" t="s">
        <v>709</v>
      </c>
      <c r="I106" s="72">
        <v>15</v>
      </c>
      <c r="J106" s="72" t="s">
        <v>272</v>
      </c>
      <c r="K106" s="72"/>
      <c r="L106" s="73">
        <v>0</v>
      </c>
      <c r="M106" s="74">
        <v>0</v>
      </c>
      <c r="N106" s="80">
        <v>113.977</v>
      </c>
      <c r="O106" s="81">
        <f t="shared" si="134"/>
        <v>1709.65</v>
      </c>
      <c r="P106" s="82">
        <f t="shared" si="135"/>
        <v>68.38</v>
      </c>
      <c r="Q106" s="81">
        <f t="shared" si="136"/>
        <v>119.67</v>
      </c>
      <c r="R106" s="83">
        <f t="shared" si="137"/>
        <v>0</v>
      </c>
      <c r="S106" s="81">
        <f t="shared" si="138"/>
        <v>188.05</v>
      </c>
      <c r="T106" s="81">
        <f t="shared" si="139"/>
        <v>1709.65</v>
      </c>
      <c r="U106" s="81">
        <f t="shared" si="140"/>
        <v>1897.7</v>
      </c>
      <c r="V106" s="81"/>
      <c r="W106" s="81"/>
      <c r="X106" s="83">
        <v>0</v>
      </c>
      <c r="Y106" s="84">
        <f t="shared" si="141"/>
        <v>-102.30023999999997</v>
      </c>
      <c r="Z106" s="83">
        <f t="shared" si="132"/>
        <v>0</v>
      </c>
      <c r="AA106" s="142">
        <f t="shared" si="133"/>
        <v>102.3</v>
      </c>
      <c r="AB106" s="142">
        <f t="shared" si="142"/>
        <v>2000</v>
      </c>
      <c r="AC106" s="86"/>
      <c r="AD106" s="73"/>
      <c r="AE106" s="40">
        <v>60</v>
      </c>
      <c r="AG106" s="91"/>
    </row>
    <row r="107" spans="1:33" s="40" customFormat="1" ht="36" customHeight="1">
      <c r="A107" s="105">
        <v>54</v>
      </c>
      <c r="B107" s="71"/>
      <c r="C107" s="71"/>
      <c r="D107" s="64" t="s">
        <v>610</v>
      </c>
      <c r="E107" s="65"/>
      <c r="F107" s="65"/>
      <c r="G107" s="66"/>
      <c r="H107" s="67" t="s">
        <v>380</v>
      </c>
      <c r="I107" s="72">
        <v>15</v>
      </c>
      <c r="J107" s="72" t="s">
        <v>272</v>
      </c>
      <c r="K107" s="72"/>
      <c r="L107" s="73"/>
      <c r="M107" s="74"/>
      <c r="N107" s="80">
        <v>90.65</v>
      </c>
      <c r="O107" s="81">
        <f>TRUNC(N107*I107,2)</f>
        <v>1359.75</v>
      </c>
      <c r="P107" s="82">
        <f>TRUNC(N107*I107*0.04,2)</f>
        <v>54.39</v>
      </c>
      <c r="Q107" s="81">
        <f>TRUNC(N107*0.07*I107,2)</f>
        <v>95.18</v>
      </c>
      <c r="R107" s="83">
        <f>L107</f>
        <v>0</v>
      </c>
      <c r="S107" s="81">
        <f>TRUNC(Q107+P107+(IF(R107&gt;519,519,R107))+IF(K107=0,0,K107*N107),2)</f>
        <v>149.57</v>
      </c>
      <c r="T107" s="81">
        <f>TRUNC((IF(K107=0,I107*N107,(I107-K107)*N107))+(IF(R107&lt;519,0,R107-519)),2)+M107</f>
        <v>1359.75</v>
      </c>
      <c r="U107" s="81">
        <f>S107+T107</f>
        <v>1509.32</v>
      </c>
      <c r="V107" s="81"/>
      <c r="W107" s="81"/>
      <c r="X107" s="81">
        <v>0</v>
      </c>
      <c r="Y107" s="84">
        <f>IF(N107&gt;0.01,(T107-VLOOKUP(T107,quincenal,1))*VLOOKUP(T107,quincenal,3)+VLOOKUP(T107,quincenal,2)-VLOOKUP(T107,subquincenal,2),0)</f>
        <v>-124.69383999999998</v>
      </c>
      <c r="Z107" s="81">
        <f>TRUNC(IF(Y107&gt;0.01,Y107,0),2)</f>
        <v>0</v>
      </c>
      <c r="AA107" s="85">
        <f>TRUNC(IF(Y107&lt;0.01,-Y107,0),2)</f>
        <v>124.69</v>
      </c>
      <c r="AB107" s="85">
        <f>U107-W107-X107-Z107+AA107</f>
        <v>1634.01</v>
      </c>
      <c r="AC107" s="86"/>
      <c r="AD107" s="73"/>
      <c r="AE107" s="40">
        <v>61</v>
      </c>
      <c r="AG107" s="91"/>
    </row>
    <row r="108" spans="1:33" s="40" customFormat="1" ht="36" customHeight="1">
      <c r="A108" s="105"/>
      <c r="B108" s="188"/>
      <c r="C108" s="188"/>
      <c r="D108" s="64" t="s">
        <v>566</v>
      </c>
      <c r="E108" s="147" t="s">
        <v>185</v>
      </c>
      <c r="F108" s="147" t="s">
        <v>222</v>
      </c>
      <c r="G108" s="148">
        <v>39114</v>
      </c>
      <c r="H108" s="103" t="s">
        <v>64</v>
      </c>
      <c r="I108" s="132">
        <v>15</v>
      </c>
      <c r="J108" s="132" t="s">
        <v>272</v>
      </c>
      <c r="K108" s="132"/>
      <c r="L108" s="138">
        <v>0</v>
      </c>
      <c r="M108" s="139">
        <v>0</v>
      </c>
      <c r="N108" s="80">
        <f>2530/15</f>
        <v>168.66666666666666</v>
      </c>
      <c r="O108" s="83">
        <f t="shared" ref="O108" si="143">TRUNC(N108*I108,2)</f>
        <v>2530</v>
      </c>
      <c r="P108" s="141">
        <f t="shared" ref="P108" si="144">TRUNC(N108*I108*0.04,2)</f>
        <v>101.2</v>
      </c>
      <c r="Q108" s="83">
        <f t="shared" ref="Q108" si="145">TRUNC(N108*0.07*I108,2)</f>
        <v>177.1</v>
      </c>
      <c r="R108" s="83">
        <f t="shared" ref="R108" si="146">L108</f>
        <v>0</v>
      </c>
      <c r="S108" s="83">
        <f t="shared" ref="S108" si="147">TRUNC(Q108+P108+(IF(R108&gt;519,519,R108))+IF(K108=0,0,K108*N108),2)</f>
        <v>278.3</v>
      </c>
      <c r="T108" s="83">
        <f t="shared" ref="T108" si="148">TRUNC((IF(K108=0,I108*N108,(I108-K108)*N108))+(IF(R108&lt;519,0,R108-519)),2)+M108</f>
        <v>2530</v>
      </c>
      <c r="U108" s="83">
        <f t="shared" ref="U108" si="149">S108+T108</f>
        <v>2808.3</v>
      </c>
      <c r="V108" s="83"/>
      <c r="W108" s="83"/>
      <c r="X108" s="83">
        <v>0</v>
      </c>
      <c r="Y108" s="84">
        <f t="shared" ref="Y108" si="150">IF(N108&gt;0.01,(T108-VLOOKUP(T108,quincenal,1))*VLOOKUP(T108,quincenal,3)+VLOOKUP(T108,quincenal,2)-VLOOKUP(T108,subquincenal,2),0)</f>
        <v>10.830911999999984</v>
      </c>
      <c r="Z108" s="83">
        <f t="shared" ref="Z108" si="151">TRUNC(IF(Y108&gt;0.01,Y108,0),2)</f>
        <v>10.83</v>
      </c>
      <c r="AA108" s="142">
        <f t="shared" ref="AA108" si="152">TRUNC(IF(Y108&lt;0.01,-Y108,0),2)</f>
        <v>0</v>
      </c>
      <c r="AB108" s="142">
        <f t="shared" ref="AB108" si="153">U108-W108-X108-Z108+AA108</f>
        <v>2797.4700000000003</v>
      </c>
      <c r="AC108" s="143">
        <f>[2]PORTADA!$D$10</f>
        <v>1</v>
      </c>
      <c r="AD108" s="138"/>
      <c r="AE108" s="40">
        <v>62</v>
      </c>
      <c r="AG108" s="91"/>
    </row>
    <row r="109" spans="1:33" s="40" customFormat="1" ht="12.75">
      <c r="A109" s="105"/>
      <c r="B109" s="180"/>
      <c r="C109" s="180"/>
      <c r="D109" s="95" t="s">
        <v>296</v>
      </c>
      <c r="E109" s="43"/>
      <c r="F109" s="43"/>
      <c r="G109" s="44"/>
      <c r="H109" s="96"/>
      <c r="I109" s="51"/>
      <c r="J109" s="51"/>
      <c r="K109" s="51"/>
      <c r="L109" s="52"/>
      <c r="M109" s="53"/>
      <c r="N109" s="97"/>
      <c r="O109" s="98">
        <f>SUM(O101:O108)</f>
        <v>12044.41</v>
      </c>
      <c r="P109" s="98">
        <f t="shared" ref="P109:AB109" si="154">SUM(P101:P108)</f>
        <v>481.75</v>
      </c>
      <c r="Q109" s="98">
        <f t="shared" si="154"/>
        <v>843.08</v>
      </c>
      <c r="R109" s="98">
        <f t="shared" si="154"/>
        <v>0</v>
      </c>
      <c r="S109" s="98">
        <f t="shared" si="154"/>
        <v>1324.83</v>
      </c>
      <c r="T109" s="98">
        <f t="shared" si="154"/>
        <v>12044.41</v>
      </c>
      <c r="U109" s="98">
        <f t="shared" si="154"/>
        <v>13369.240000000002</v>
      </c>
      <c r="V109" s="98">
        <f t="shared" si="154"/>
        <v>0</v>
      </c>
      <c r="W109" s="98">
        <f t="shared" si="154"/>
        <v>0</v>
      </c>
      <c r="X109" s="98">
        <f t="shared" si="154"/>
        <v>0</v>
      </c>
      <c r="Y109" s="98">
        <f t="shared" si="154"/>
        <v>-862.27172799999994</v>
      </c>
      <c r="Z109" s="98">
        <f t="shared" si="154"/>
        <v>10.83</v>
      </c>
      <c r="AA109" s="98">
        <f t="shared" si="154"/>
        <v>873.07999999999993</v>
      </c>
      <c r="AB109" s="98">
        <f t="shared" si="154"/>
        <v>14231.490000000002</v>
      </c>
      <c r="AC109" s="99"/>
      <c r="AD109" s="52"/>
    </row>
    <row r="110" spans="1:33" s="40" customFormat="1">
      <c r="A110" s="105"/>
      <c r="B110" s="180"/>
      <c r="C110" s="180"/>
      <c r="D110" s="127"/>
      <c r="E110" s="43"/>
      <c r="F110" s="43"/>
      <c r="G110" s="44"/>
      <c r="H110" s="96"/>
      <c r="I110" s="51"/>
      <c r="J110" s="51"/>
      <c r="K110" s="51"/>
      <c r="L110" s="52"/>
      <c r="M110" s="53"/>
      <c r="N110" s="97"/>
      <c r="O110" s="88"/>
      <c r="P110" s="181"/>
      <c r="Q110" s="88"/>
      <c r="R110" s="146"/>
      <c r="S110" s="88"/>
      <c r="T110" s="88"/>
      <c r="U110" s="88"/>
      <c r="V110" s="88"/>
      <c r="W110" s="88"/>
      <c r="X110" s="88"/>
      <c r="Y110" s="91"/>
      <c r="Z110" s="88"/>
      <c r="AA110" s="182"/>
      <c r="AB110" s="182"/>
      <c r="AC110" s="99"/>
      <c r="AD110" s="52"/>
    </row>
    <row r="111" spans="1:33" s="40" customFormat="1" ht="12.75">
      <c r="A111" s="105"/>
      <c r="B111" s="180"/>
      <c r="C111" s="180"/>
      <c r="D111" s="95" t="s">
        <v>297</v>
      </c>
      <c r="E111" s="43"/>
      <c r="F111" s="43"/>
      <c r="G111" s="44"/>
      <c r="H111" s="96"/>
      <c r="I111" s="51"/>
      <c r="J111" s="51"/>
      <c r="K111" s="51"/>
      <c r="L111" s="52"/>
      <c r="M111" s="53"/>
      <c r="N111" s="97"/>
      <c r="O111" s="88"/>
      <c r="P111" s="181"/>
      <c r="Q111" s="88"/>
      <c r="R111" s="146"/>
      <c r="S111" s="88"/>
      <c r="T111" s="88"/>
      <c r="U111" s="88"/>
      <c r="V111" s="88"/>
      <c r="W111" s="88"/>
      <c r="X111" s="88"/>
      <c r="Y111" s="91"/>
      <c r="Z111" s="88"/>
      <c r="AA111" s="182"/>
      <c r="AB111" s="182"/>
      <c r="AC111" s="99"/>
      <c r="AD111" s="52"/>
    </row>
    <row r="112" spans="1:33" s="40" customFormat="1" ht="36" customHeight="1">
      <c r="A112" s="105">
        <v>56</v>
      </c>
      <c r="B112" s="71" t="s">
        <v>66</v>
      </c>
      <c r="C112" s="71" t="s">
        <v>16</v>
      </c>
      <c r="D112" s="64" t="s">
        <v>580</v>
      </c>
      <c r="E112" s="65"/>
      <c r="F112" s="65"/>
      <c r="G112" s="66"/>
      <c r="H112" s="103" t="s">
        <v>67</v>
      </c>
      <c r="I112" s="72">
        <v>15</v>
      </c>
      <c r="J112" s="72" t="s">
        <v>272</v>
      </c>
      <c r="K112" s="72"/>
      <c r="L112" s="73">
        <v>0</v>
      </c>
      <c r="M112" s="74">
        <v>0</v>
      </c>
      <c r="N112" s="80">
        <f>8355/15</f>
        <v>557</v>
      </c>
      <c r="O112" s="81">
        <f>TRUNC(N112*I112,2)</f>
        <v>8355</v>
      </c>
      <c r="P112" s="82">
        <f>TRUNC(N112*I112*0.04,2)</f>
        <v>334.2</v>
      </c>
      <c r="Q112" s="81">
        <f>TRUNC(N112*0.07*I112,2)</f>
        <v>584.85</v>
      </c>
      <c r="R112" s="83">
        <f>L112</f>
        <v>0</v>
      </c>
      <c r="S112" s="81">
        <f>TRUNC(Q112+P112+(IF(R112&gt;519,519,R112))+IF(K112=0,0,K112*N112),2)</f>
        <v>919.05</v>
      </c>
      <c r="T112" s="81">
        <f>TRUNC((IF(K112=0,I112*N112,(I112-K112)*N112))+(IF(R112&lt;519,0,R112-519)),2)+M112</f>
        <v>8355</v>
      </c>
      <c r="U112" s="81">
        <f>S112+T112</f>
        <v>9274.0499999999993</v>
      </c>
      <c r="V112" s="81"/>
      <c r="W112" s="81"/>
      <c r="X112" s="81">
        <v>0</v>
      </c>
      <c r="Y112" s="84">
        <f>IF(N112&gt;0.01,(T112-VLOOKUP(T112,quincenal,1))*VLOOKUP(T112,quincenal,3)+VLOOKUP(T112,quincenal,2)-VLOOKUP(T112,subquincenal,2),0)</f>
        <v>1237.4388240000001</v>
      </c>
      <c r="Z112" s="81">
        <f>TRUNC(IF(Y112&gt;0.01,Y112,0),2)</f>
        <v>1237.43</v>
      </c>
      <c r="AA112" s="85">
        <f>TRUNC(IF(Y112&lt;0.01,-Y112,0),2)</f>
        <v>0</v>
      </c>
      <c r="AB112" s="85">
        <f>U112-W112-X112-Z112+AA112</f>
        <v>8036.619999999999</v>
      </c>
      <c r="AC112" s="86" t="e">
        <f>#REF!</f>
        <v>#REF!</v>
      </c>
      <c r="AD112" s="73"/>
      <c r="AE112" s="40">
        <v>63</v>
      </c>
      <c r="AG112" s="91"/>
    </row>
    <row r="113" spans="1:33" s="40" customFormat="1" ht="36" customHeight="1">
      <c r="A113" s="105"/>
      <c r="B113" s="71"/>
      <c r="C113" s="71"/>
      <c r="D113" s="64" t="s">
        <v>246</v>
      </c>
      <c r="E113" s="147" t="s">
        <v>247</v>
      </c>
      <c r="F113" s="147" t="s">
        <v>437</v>
      </c>
      <c r="G113" s="148">
        <v>39818</v>
      </c>
      <c r="H113" s="103" t="s">
        <v>270</v>
      </c>
      <c r="I113" s="132">
        <v>15</v>
      </c>
      <c r="J113" s="132" t="s">
        <v>272</v>
      </c>
      <c r="K113" s="132"/>
      <c r="L113" s="138">
        <v>0</v>
      </c>
      <c r="M113" s="139">
        <v>0</v>
      </c>
      <c r="N113" s="80">
        <f>5198/15</f>
        <v>346.53333333333336</v>
      </c>
      <c r="O113" s="83">
        <f>TRUNC(N113*I113,2)</f>
        <v>5198</v>
      </c>
      <c r="P113" s="141">
        <f>TRUNC(N113*I113*0.04,2)</f>
        <v>207.92</v>
      </c>
      <c r="Q113" s="83">
        <f>TRUNC(N113*0.07*I113,2)</f>
        <v>363.86</v>
      </c>
      <c r="R113" s="83">
        <f>L113</f>
        <v>0</v>
      </c>
      <c r="S113" s="83">
        <f>TRUNC(Q113+P113+(IF(R113&gt;519,519,R113))+IF(K113=0,0,K113*N113),2)</f>
        <v>571.78</v>
      </c>
      <c r="T113" s="83">
        <f>TRUNC((IF(K113=0,I113*N113,(I113-K113)*N113))+(IF(R113&lt;519,0,R113-519)),2)+M113</f>
        <v>5198</v>
      </c>
      <c r="U113" s="83">
        <f>S113+T113</f>
        <v>5769.78</v>
      </c>
      <c r="V113" s="83"/>
      <c r="W113" s="83"/>
      <c r="X113" s="83">
        <v>0</v>
      </c>
      <c r="Y113" s="84">
        <f>IF(N113&gt;0.01,(T113-VLOOKUP(T113,quincenal,1))*VLOOKUP(T113,quincenal,3)+VLOOKUP(T113,quincenal,2)-VLOOKUP(T113,subquincenal,2),0)</f>
        <v>563.10362400000008</v>
      </c>
      <c r="Z113" s="83">
        <f>TRUNC(IF(Y113&gt;0.01,Y113,0),2)</f>
        <v>563.1</v>
      </c>
      <c r="AA113" s="142">
        <f>TRUNC(IF(Y113&lt;0.01,-Y113,0),2)</f>
        <v>0</v>
      </c>
      <c r="AB113" s="142">
        <f>U113-W113-X113-Z113+AA113</f>
        <v>5206.6799999999994</v>
      </c>
      <c r="AC113" s="86"/>
      <c r="AD113" s="73"/>
      <c r="AE113" s="40">
        <v>64</v>
      </c>
      <c r="AG113" s="91"/>
    </row>
    <row r="114" spans="1:33" s="40" customFormat="1" ht="36" customHeight="1">
      <c r="A114" s="105"/>
      <c r="B114" s="71"/>
      <c r="C114" s="71"/>
      <c r="D114" s="64" t="s">
        <v>632</v>
      </c>
      <c r="E114" s="65"/>
      <c r="F114" s="65"/>
      <c r="G114" s="66"/>
      <c r="H114" s="107" t="s">
        <v>19</v>
      </c>
      <c r="I114" s="72">
        <v>15</v>
      </c>
      <c r="J114" s="72" t="s">
        <v>272</v>
      </c>
      <c r="K114" s="72"/>
      <c r="L114" s="73">
        <v>0</v>
      </c>
      <c r="M114" s="74">
        <v>0</v>
      </c>
      <c r="N114" s="80">
        <v>147.369</v>
      </c>
      <c r="O114" s="81">
        <f>TRUNC(N114*I114,2)</f>
        <v>2210.5300000000002</v>
      </c>
      <c r="P114" s="82">
        <f>TRUNC(N114*I114*0.04,2)</f>
        <v>88.42</v>
      </c>
      <c r="Q114" s="81">
        <f>TRUNC(N114*0.07*I114,2)</f>
        <v>154.72999999999999</v>
      </c>
      <c r="R114" s="83">
        <f>L114</f>
        <v>0</v>
      </c>
      <c r="S114" s="81">
        <f>TRUNC(Q114+P114+(IF(R114&gt;519,519,R114))+IF(K114=0,0,K114*N114),2)</f>
        <v>243.15</v>
      </c>
      <c r="T114" s="81">
        <f>TRUNC((IF(K114=0,I114*N114,(I114-K114)*N114))+(IF(R114&lt;519,0,R114-519)),2)+M114</f>
        <v>2210.5300000000002</v>
      </c>
      <c r="U114" s="81">
        <f>S114+T114</f>
        <v>2453.6800000000003</v>
      </c>
      <c r="V114" s="81"/>
      <c r="W114" s="81"/>
      <c r="X114" s="81">
        <v>0</v>
      </c>
      <c r="Y114" s="84">
        <f>IF(N114&gt;0.01,(T114-VLOOKUP(T114,quincenal,1))*VLOOKUP(T114,quincenal,3)+VLOOKUP(T114,quincenal,2)-VLOOKUP(T114,subquincenal,2),0)</f>
        <v>-38.327424000000008</v>
      </c>
      <c r="Z114" s="81">
        <f>TRUNC(IF(Y114&gt;0.01,Y114,0),2)</f>
        <v>0</v>
      </c>
      <c r="AA114" s="85">
        <f>TRUNC(IF(Y114&lt;0.01,-Y114,0),2)</f>
        <v>38.32</v>
      </c>
      <c r="AB114" s="85">
        <f>U114-W114-X114-Z114+AA114</f>
        <v>2492.0000000000005</v>
      </c>
      <c r="AC114" s="86"/>
      <c r="AD114" s="73"/>
      <c r="AG114" s="91"/>
    </row>
    <row r="115" spans="1:33" s="40" customFormat="1" ht="36" customHeight="1">
      <c r="A115" s="105"/>
      <c r="B115" s="71"/>
      <c r="C115" s="71"/>
      <c r="D115" s="64" t="s">
        <v>620</v>
      </c>
      <c r="E115" s="65"/>
      <c r="F115" s="65"/>
      <c r="G115" s="66"/>
      <c r="H115" s="103" t="s">
        <v>619</v>
      </c>
      <c r="I115" s="72">
        <v>15</v>
      </c>
      <c r="J115" s="72" t="s">
        <v>272</v>
      </c>
      <c r="K115" s="72"/>
      <c r="L115" s="73">
        <v>0</v>
      </c>
      <c r="M115" s="74">
        <v>0</v>
      </c>
      <c r="N115" s="80">
        <v>217.7938</v>
      </c>
      <c r="O115" s="81">
        <f>TRUNC(N115*I115,2)</f>
        <v>3266.9</v>
      </c>
      <c r="P115" s="82">
        <f>TRUNC(N115*I115*0.04,2)</f>
        <v>130.66999999999999</v>
      </c>
      <c r="Q115" s="81">
        <f>TRUNC(N115*0.07*I115,2)</f>
        <v>228.68</v>
      </c>
      <c r="R115" s="83">
        <f>L115</f>
        <v>0</v>
      </c>
      <c r="S115" s="81">
        <f>TRUNC(Q115+P115+(IF(R115&gt;519,519,R115))+IF(K115=0,0,K115*N115),2)</f>
        <v>359.35</v>
      </c>
      <c r="T115" s="81">
        <f>TRUNC((IF(K115=0,I115*N115,(I115-K115)*N115))+(IF(R115&lt;519,0,R115-519)),2)+M115</f>
        <v>3266.9</v>
      </c>
      <c r="U115" s="81">
        <f>S115+T115</f>
        <v>3626.25</v>
      </c>
      <c r="V115" s="81"/>
      <c r="W115" s="81"/>
      <c r="X115" s="81">
        <v>0</v>
      </c>
      <c r="Y115" s="84">
        <f>IF(N115&gt;0.01,(T115-VLOOKUP(T115,quincenal,1))*VLOOKUP(T115,quincenal,3)+VLOOKUP(T115,quincenal,2)-VLOOKUP(T115,subquincenal,2),0)</f>
        <v>126.25563199999996</v>
      </c>
      <c r="Z115" s="81">
        <f>TRUNC(IF(Y115&gt;0.01,Y115,0),2)</f>
        <v>126.25</v>
      </c>
      <c r="AA115" s="85">
        <f>TRUNC(IF(Y115&lt;0.01,-Y115,0),2)</f>
        <v>0</v>
      </c>
      <c r="AB115" s="85">
        <f>U115-W115-X115-Z115+AA115</f>
        <v>3500</v>
      </c>
      <c r="AC115" s="86" t="e">
        <f>#REF!</f>
        <v>#REF!</v>
      </c>
      <c r="AD115" s="73"/>
      <c r="AE115" s="40">
        <v>65</v>
      </c>
      <c r="AG115" s="91"/>
    </row>
    <row r="116" spans="1:33" s="40" customFormat="1" ht="36" customHeight="1">
      <c r="A116" s="105"/>
      <c r="B116" s="71"/>
      <c r="C116" s="71"/>
      <c r="D116" s="64" t="s">
        <v>621</v>
      </c>
      <c r="E116" s="65"/>
      <c r="F116" s="65"/>
      <c r="G116" s="66"/>
      <c r="H116" s="103" t="s">
        <v>639</v>
      </c>
      <c r="I116" s="72">
        <v>15</v>
      </c>
      <c r="J116" s="72" t="s">
        <v>272</v>
      </c>
      <c r="K116" s="72"/>
      <c r="L116" s="73">
        <v>0</v>
      </c>
      <c r="M116" s="74">
        <v>0</v>
      </c>
      <c r="N116" s="80">
        <v>147.9014</v>
      </c>
      <c r="O116" s="81">
        <f t="shared" ref="O116" si="155">TRUNC(N116*I116,2)</f>
        <v>2218.52</v>
      </c>
      <c r="P116" s="82">
        <f t="shared" ref="P116" si="156">TRUNC(N116*I116*0.04,2)</f>
        <v>88.74</v>
      </c>
      <c r="Q116" s="81">
        <f t="shared" ref="Q116" si="157">TRUNC(N116*0.07*I116,2)</f>
        <v>155.29</v>
      </c>
      <c r="R116" s="83">
        <f t="shared" ref="R116" si="158">L116</f>
        <v>0</v>
      </c>
      <c r="S116" s="81">
        <f t="shared" ref="S116" si="159">TRUNC(Q116+P116+(IF(R116&gt;519,519,R116))+IF(K116=0,0,K116*N116),2)</f>
        <v>244.03</v>
      </c>
      <c r="T116" s="81">
        <f t="shared" ref="T116" si="160">TRUNC((IF(K116=0,I116*N116,(I116-K116)*N116))+(IF(R116&lt;519,0,R116-519)),2)+M116</f>
        <v>2218.52</v>
      </c>
      <c r="U116" s="81">
        <f t="shared" ref="U116" si="161">S116+T116</f>
        <v>2462.5500000000002</v>
      </c>
      <c r="V116" s="81"/>
      <c r="W116" s="81"/>
      <c r="X116" s="81">
        <v>0</v>
      </c>
      <c r="Y116" s="84">
        <f t="shared" ref="Y116" si="162">IF(N116&gt;0.01,(T116-VLOOKUP(T116,quincenal,1))*VLOOKUP(T116,quincenal,3)+VLOOKUP(T116,quincenal,2)-VLOOKUP(T116,subquincenal,2),0)</f>
        <v>-37.458112000000028</v>
      </c>
      <c r="Z116" s="81">
        <f t="shared" ref="Z116" si="163">TRUNC(IF(Y116&gt;0.01,Y116,0),2)</f>
        <v>0</v>
      </c>
      <c r="AA116" s="85">
        <f t="shared" ref="AA116" si="164">TRUNC(IF(Y116&lt;0.01,-Y116,0),2)</f>
        <v>37.450000000000003</v>
      </c>
      <c r="AB116" s="85">
        <f t="shared" ref="AB116" si="165">U116-W116-X116-Z116+AA116</f>
        <v>2500</v>
      </c>
      <c r="AC116" s="86"/>
      <c r="AD116" s="73"/>
      <c r="AE116" s="40">
        <v>66</v>
      </c>
      <c r="AG116" s="91"/>
    </row>
    <row r="117" spans="1:33" s="40" customFormat="1" ht="36" customHeight="1">
      <c r="A117" s="105"/>
      <c r="B117" s="188"/>
      <c r="C117" s="188"/>
      <c r="D117" s="64" t="s">
        <v>69</v>
      </c>
      <c r="E117" s="147" t="s">
        <v>198</v>
      </c>
      <c r="F117" s="147" t="s">
        <v>231</v>
      </c>
      <c r="G117" s="148">
        <v>39113</v>
      </c>
      <c r="H117" s="103" t="s">
        <v>270</v>
      </c>
      <c r="I117" s="132">
        <v>15</v>
      </c>
      <c r="J117" s="132" t="s">
        <v>272</v>
      </c>
      <c r="K117" s="132"/>
      <c r="L117" s="138">
        <v>0</v>
      </c>
      <c r="M117" s="139">
        <v>0</v>
      </c>
      <c r="N117" s="80">
        <f>4693/15</f>
        <v>312.86666666666667</v>
      </c>
      <c r="O117" s="83">
        <f>TRUNC(N117*I117,2)</f>
        <v>4693</v>
      </c>
      <c r="P117" s="141">
        <f>TRUNC(N117*I117*0.04,2)</f>
        <v>187.72</v>
      </c>
      <c r="Q117" s="83">
        <f>TRUNC(N117*0.07*I117,2)</f>
        <v>328.51</v>
      </c>
      <c r="R117" s="83">
        <f>L117</f>
        <v>0</v>
      </c>
      <c r="S117" s="83">
        <f>TRUNC(Q117+P117+(IF(R117&gt;519,519,R117))+IF(K117=0,0,K117*N117),2)</f>
        <v>516.23</v>
      </c>
      <c r="T117" s="83">
        <f>TRUNC((IF(K117=0,I117*N117,(I117-K117)*N117))+(IF(R117&lt;519,0,R117-519)),2)+M117</f>
        <v>4693</v>
      </c>
      <c r="U117" s="83">
        <f>S117+T117</f>
        <v>5209.2299999999996</v>
      </c>
      <c r="V117" s="83"/>
      <c r="W117" s="83"/>
      <c r="X117" s="83">
        <v>0</v>
      </c>
      <c r="Y117" s="84">
        <f>IF(N117&gt;0.01,(T117-VLOOKUP(T117,quincenal,1))*VLOOKUP(T117,quincenal,3)+VLOOKUP(T117,quincenal,2)-VLOOKUP(T117,subquincenal,2),0)</f>
        <v>468.4910880000001</v>
      </c>
      <c r="Z117" s="83">
        <f>TRUNC(IF(Y117&gt;0.01,Y117,0),2)</f>
        <v>468.49</v>
      </c>
      <c r="AA117" s="142">
        <f>TRUNC(IF(Y117&lt;0.01,-Y117,0),2)</f>
        <v>0</v>
      </c>
      <c r="AB117" s="142">
        <f>U117-W117-X117-Z117+AA117</f>
        <v>4740.74</v>
      </c>
      <c r="AC117" s="143">
        <f>[2]PORTADA!$D$10</f>
        <v>1</v>
      </c>
      <c r="AD117" s="138"/>
      <c r="AE117" s="40">
        <v>67</v>
      </c>
      <c r="AG117" s="91"/>
    </row>
    <row r="118" spans="1:33" s="40" customFormat="1" ht="12.75">
      <c r="A118" s="105"/>
      <c r="B118" s="180"/>
      <c r="C118" s="180"/>
      <c r="D118" s="95" t="s">
        <v>297</v>
      </c>
      <c r="E118" s="43"/>
      <c r="F118" s="43"/>
      <c r="G118" s="44"/>
      <c r="H118" s="96"/>
      <c r="I118" s="51"/>
      <c r="J118" s="51"/>
      <c r="K118" s="51"/>
      <c r="L118" s="52"/>
      <c r="M118" s="53"/>
      <c r="N118" s="97"/>
      <c r="O118" s="98">
        <f>SUM(O112:O117)</f>
        <v>25941.95</v>
      </c>
      <c r="P118" s="98">
        <f t="shared" ref="P118:AB118" si="166">SUM(P112:P117)</f>
        <v>1037.6699999999998</v>
      </c>
      <c r="Q118" s="98">
        <f t="shared" si="166"/>
        <v>1815.92</v>
      </c>
      <c r="R118" s="98">
        <f t="shared" si="166"/>
        <v>0</v>
      </c>
      <c r="S118" s="98">
        <f t="shared" si="166"/>
        <v>2853.59</v>
      </c>
      <c r="T118" s="98">
        <f t="shared" si="166"/>
        <v>25941.95</v>
      </c>
      <c r="U118" s="98">
        <f t="shared" si="166"/>
        <v>28795.539999999997</v>
      </c>
      <c r="V118" s="98">
        <f t="shared" si="166"/>
        <v>0</v>
      </c>
      <c r="W118" s="98">
        <f t="shared" si="166"/>
        <v>0</v>
      </c>
      <c r="X118" s="98">
        <f t="shared" si="166"/>
        <v>0</v>
      </c>
      <c r="Y118" s="98">
        <f t="shared" si="166"/>
        <v>2319.5036319999999</v>
      </c>
      <c r="Z118" s="98">
        <f t="shared" si="166"/>
        <v>2395.2700000000004</v>
      </c>
      <c r="AA118" s="98">
        <f t="shared" si="166"/>
        <v>75.77000000000001</v>
      </c>
      <c r="AB118" s="98">
        <f t="shared" si="166"/>
        <v>26476.04</v>
      </c>
      <c r="AC118" s="99"/>
      <c r="AD118" s="52"/>
    </row>
    <row r="119" spans="1:33" s="40" customFormat="1">
      <c r="A119" s="105"/>
      <c r="B119" s="180"/>
      <c r="C119" s="180"/>
      <c r="D119" s="127"/>
      <c r="E119" s="43"/>
      <c r="F119" s="43"/>
      <c r="G119" s="44"/>
      <c r="H119" s="96"/>
      <c r="I119" s="51"/>
      <c r="J119" s="51"/>
      <c r="K119" s="51"/>
      <c r="L119" s="52"/>
      <c r="M119" s="53"/>
      <c r="N119" s="97"/>
      <c r="O119" s="88"/>
      <c r="P119" s="181"/>
      <c r="Q119" s="88"/>
      <c r="R119" s="146"/>
      <c r="S119" s="88"/>
      <c r="T119" s="88"/>
      <c r="U119" s="88"/>
      <c r="V119" s="88"/>
      <c r="W119" s="88"/>
      <c r="X119" s="88"/>
      <c r="Y119" s="91"/>
      <c r="Z119" s="88"/>
      <c r="AA119" s="182"/>
      <c r="AB119" s="182"/>
      <c r="AC119" s="99"/>
      <c r="AD119" s="52"/>
    </row>
    <row r="120" spans="1:33" s="40" customFormat="1" ht="12.75">
      <c r="A120" s="105"/>
      <c r="B120" s="180"/>
      <c r="C120" s="180"/>
      <c r="D120" s="95" t="s">
        <v>158</v>
      </c>
      <c r="E120" s="43"/>
      <c r="F120" s="43"/>
      <c r="G120" s="44"/>
      <c r="H120" s="96"/>
      <c r="I120" s="51"/>
      <c r="J120" s="51"/>
      <c r="K120" s="51"/>
      <c r="L120" s="52"/>
      <c r="M120" s="53"/>
      <c r="N120" s="97"/>
      <c r="O120" s="88"/>
      <c r="P120" s="181"/>
      <c r="Q120" s="88"/>
      <c r="R120" s="146"/>
      <c r="S120" s="88"/>
      <c r="T120" s="88"/>
      <c r="U120" s="88"/>
      <c r="V120" s="88"/>
      <c r="W120" s="88"/>
      <c r="X120" s="88"/>
      <c r="Y120" s="91"/>
      <c r="Z120" s="88"/>
      <c r="AA120" s="182"/>
      <c r="AB120" s="182"/>
      <c r="AC120" s="99"/>
      <c r="AD120" s="52"/>
    </row>
    <row r="121" spans="1:33" s="40" customFormat="1" ht="36" customHeight="1">
      <c r="A121" s="105">
        <v>61</v>
      </c>
      <c r="B121" s="71" t="s">
        <v>113</v>
      </c>
      <c r="C121" s="71" t="s">
        <v>122</v>
      </c>
      <c r="D121" s="64" t="s">
        <v>371</v>
      </c>
      <c r="E121" s="150" t="s">
        <v>412</v>
      </c>
      <c r="F121" s="150" t="s">
        <v>413</v>
      </c>
      <c r="G121" s="196"/>
      <c r="H121" s="107" t="s">
        <v>317</v>
      </c>
      <c r="I121" s="132">
        <v>15</v>
      </c>
      <c r="J121" s="132" t="s">
        <v>272</v>
      </c>
      <c r="K121" s="132"/>
      <c r="L121" s="138">
        <v>0</v>
      </c>
      <c r="M121" s="139">
        <v>0</v>
      </c>
      <c r="N121" s="80">
        <f>3228/15</f>
        <v>215.2</v>
      </c>
      <c r="O121" s="83">
        <f>TRUNC(N121*I121,2)</f>
        <v>3228</v>
      </c>
      <c r="P121" s="141">
        <f>TRUNC(N121*I121*0.04,2)</f>
        <v>129.12</v>
      </c>
      <c r="Q121" s="83">
        <f>TRUNC(N121*0.07*I121,2)</f>
        <v>225.96</v>
      </c>
      <c r="R121" s="83">
        <f>L121</f>
        <v>0</v>
      </c>
      <c r="S121" s="83">
        <f>TRUNC(Q121+P121+(IF(R121&gt;519,519,R121))+IF(K121=0,0,K121*N121),2)</f>
        <v>355.08</v>
      </c>
      <c r="T121" s="83">
        <f>TRUNC((IF(K121=0,I121*N121,(I121-K121)*N121))+(IF(R121&lt;519,0,R121-519)),2)+M121</f>
        <v>3228</v>
      </c>
      <c r="U121" s="83">
        <f>S121+T121</f>
        <v>3583.08</v>
      </c>
      <c r="V121" s="83"/>
      <c r="W121" s="83"/>
      <c r="X121" s="83">
        <v>0</v>
      </c>
      <c r="Y121" s="84">
        <f>IF(N121&gt;0.01,(T121-VLOOKUP(T121,quincenal,1))*VLOOKUP(T121,quincenal,3)+VLOOKUP(T121,quincenal,2)-VLOOKUP(T121,subquincenal,2),0)</f>
        <v>122.02331199999998</v>
      </c>
      <c r="Z121" s="83">
        <f>TRUNC(IF(Y121&gt;0.01,Y121,0),2)</f>
        <v>122.02</v>
      </c>
      <c r="AA121" s="142">
        <f>TRUNC(IF(Y121&lt;0.01,-Y121,0),2)</f>
        <v>0</v>
      </c>
      <c r="AB121" s="142">
        <f>U121-W121-X121-Z121+AA121</f>
        <v>3461.06</v>
      </c>
      <c r="AC121" s="143">
        <f>[2]PORTADA!$D$10</f>
        <v>1</v>
      </c>
      <c r="AD121" s="138"/>
      <c r="AE121" s="40">
        <v>68</v>
      </c>
      <c r="AG121" s="91"/>
    </row>
    <row r="122" spans="1:33" s="40" customFormat="1" ht="36" customHeight="1">
      <c r="A122" s="105"/>
      <c r="B122" s="188"/>
      <c r="C122" s="188"/>
      <c r="D122" s="64" t="s">
        <v>72</v>
      </c>
      <c r="E122" s="147" t="s">
        <v>177</v>
      </c>
      <c r="F122" s="147" t="s">
        <v>212</v>
      </c>
      <c r="G122" s="148">
        <v>39083</v>
      </c>
      <c r="H122" s="103" t="s">
        <v>73</v>
      </c>
      <c r="I122" s="132">
        <v>15</v>
      </c>
      <c r="J122" s="132" t="s">
        <v>272</v>
      </c>
      <c r="K122" s="132"/>
      <c r="L122" s="138">
        <v>0</v>
      </c>
      <c r="M122" s="139">
        <v>0</v>
      </c>
      <c r="N122" s="80">
        <f>3016/15</f>
        <v>201.06666666666666</v>
      </c>
      <c r="O122" s="83">
        <f>TRUNC(N122*I122,2)</f>
        <v>3016</v>
      </c>
      <c r="P122" s="141">
        <f>TRUNC(N122*I122*0.04,2)</f>
        <v>120.64</v>
      </c>
      <c r="Q122" s="83">
        <f>TRUNC(N122*0.07*I122,2)</f>
        <v>211.12</v>
      </c>
      <c r="R122" s="83">
        <f>L122</f>
        <v>0</v>
      </c>
      <c r="S122" s="83">
        <f>TRUNC(Q122+P122+(IF(R122&gt;519,519,R122))+IF(K122=0,0,K122*N122),2)</f>
        <v>331.76</v>
      </c>
      <c r="T122" s="83">
        <f>TRUNC((IF(K122=0,I122*N122,(I122-K122)*N122))+(IF(R122&lt;519,0,R122-519)),2)+M122</f>
        <v>3016</v>
      </c>
      <c r="U122" s="83">
        <f>S122+T122</f>
        <v>3347.76</v>
      </c>
      <c r="V122" s="83"/>
      <c r="W122" s="83"/>
      <c r="X122" s="83">
        <v>0</v>
      </c>
      <c r="Y122" s="84">
        <f>IF(N122&gt;0.01,(T122-VLOOKUP(T122,quincenal,1))*VLOOKUP(T122,quincenal,3)+VLOOKUP(T122,quincenal,2)-VLOOKUP(T122,subquincenal,2),0)</f>
        <v>78.707711999999987</v>
      </c>
      <c r="Z122" s="83">
        <f>TRUNC(IF(Y122&gt;0.01,Y122,0),2)</f>
        <v>78.7</v>
      </c>
      <c r="AA122" s="142">
        <f>TRUNC(IF(Y122&lt;0.01,-Y122,0),2)</f>
        <v>0</v>
      </c>
      <c r="AB122" s="142">
        <f>U122-W122-X122-Z122+AA122</f>
        <v>3269.0600000000004</v>
      </c>
      <c r="AC122" s="143">
        <f>[2]PORTADA!$D$10</f>
        <v>1</v>
      </c>
      <c r="AD122" s="138"/>
      <c r="AE122" s="40">
        <v>69</v>
      </c>
      <c r="AG122" s="91"/>
    </row>
    <row r="123" spans="1:33" s="40" customFormat="1" ht="36" customHeight="1">
      <c r="A123" s="105" t="s">
        <v>667</v>
      </c>
      <c r="B123" s="188"/>
      <c r="C123" s="188"/>
      <c r="D123" s="64" t="s">
        <v>704</v>
      </c>
      <c r="E123" s="147"/>
      <c r="F123" s="147"/>
      <c r="G123" s="148"/>
      <c r="H123" s="107" t="s">
        <v>705</v>
      </c>
      <c r="I123" s="132">
        <v>15</v>
      </c>
      <c r="J123" s="132"/>
      <c r="K123" s="132"/>
      <c r="L123" s="138"/>
      <c r="M123" s="139"/>
      <c r="N123" s="80">
        <v>203.12799999999999</v>
      </c>
      <c r="O123" s="83">
        <f>TRUNC(N123*I123,2)</f>
        <v>3046.92</v>
      </c>
      <c r="P123" s="141">
        <f>TRUNC(N123*I123*0.04,2)</f>
        <v>121.87</v>
      </c>
      <c r="Q123" s="83">
        <f>TRUNC(N123*0.07*I123,2)</f>
        <v>213.28</v>
      </c>
      <c r="R123" s="83">
        <f>L123</f>
        <v>0</v>
      </c>
      <c r="S123" s="83">
        <f>TRUNC(Q123+P123+(IF(R123&gt;519,519,R123))+IF(K123=0,0,K123*N123),2)</f>
        <v>335.15</v>
      </c>
      <c r="T123" s="83">
        <f>TRUNC((IF(K123=0,I123*N123,(I123-K123)*N123))+(IF(R123&lt;519,0,R123-519)),2)+M123</f>
        <v>3046.92</v>
      </c>
      <c r="U123" s="83">
        <f>S123+T123</f>
        <v>3382.07</v>
      </c>
      <c r="V123" s="83"/>
      <c r="W123" s="83"/>
      <c r="X123" s="83">
        <v>0</v>
      </c>
      <c r="Y123" s="84">
        <f>IF(N123&gt;0.01,(T123-VLOOKUP(T123,quincenal,1))*VLOOKUP(T123,quincenal,3)+VLOOKUP(T123,quincenal,2)-VLOOKUP(T123,subquincenal,2),0)</f>
        <v>82.071808000000004</v>
      </c>
      <c r="Z123" s="83">
        <f>TRUNC(IF(Y123&gt;0.01,Y123,0),2)</f>
        <v>82.07</v>
      </c>
      <c r="AA123" s="142">
        <f>TRUNC(IF(Y123&lt;0.01,-Y123,0),2)</f>
        <v>0</v>
      </c>
      <c r="AB123" s="142">
        <f>U123-W123-X123-Z123+AA123</f>
        <v>3300</v>
      </c>
      <c r="AC123" s="143"/>
      <c r="AD123" s="138"/>
      <c r="AE123" s="40">
        <v>70</v>
      </c>
      <c r="AG123" s="91"/>
    </row>
    <row r="124" spans="1:33" s="40" customFormat="1" ht="36" customHeight="1">
      <c r="A124" s="105"/>
      <c r="B124" s="188"/>
      <c r="C124" s="188"/>
      <c r="D124" s="64" t="s">
        <v>728</v>
      </c>
      <c r="E124" s="147"/>
      <c r="F124" s="147"/>
      <c r="G124" s="148"/>
      <c r="H124" s="107" t="s">
        <v>705</v>
      </c>
      <c r="I124" s="132">
        <v>15</v>
      </c>
      <c r="J124" s="132" t="s">
        <v>272</v>
      </c>
      <c r="K124" s="132"/>
      <c r="L124" s="138">
        <v>0</v>
      </c>
      <c r="M124" s="139">
        <v>0</v>
      </c>
      <c r="N124" s="80">
        <v>133.09739999999999</v>
      </c>
      <c r="O124" s="83">
        <f>TRUNC(N124*I124,2)</f>
        <v>1996.46</v>
      </c>
      <c r="P124" s="141">
        <f>TRUNC(N124*I124*0.04,2)</f>
        <v>79.849999999999994</v>
      </c>
      <c r="Q124" s="83">
        <f>TRUNC(N124*0.07*I124,2)</f>
        <v>139.75</v>
      </c>
      <c r="R124" s="83">
        <f>L124</f>
        <v>0</v>
      </c>
      <c r="S124" s="83">
        <f>TRUNC(Q124+P124+(IF(R124&gt;519,519,R124))+IF(K124=0,0,K124*N124),2)</f>
        <v>219.6</v>
      </c>
      <c r="T124" s="83">
        <f>TRUNC((IF(K124=0,I124*N124,(I124-K124)*N124))+(IF(R124&lt;519,0,R124-519)),2)+M124</f>
        <v>1996.46</v>
      </c>
      <c r="U124" s="83">
        <f>S124+T124</f>
        <v>2216.06</v>
      </c>
      <c r="V124" s="83"/>
      <c r="W124" s="83"/>
      <c r="X124" s="83">
        <v>0</v>
      </c>
      <c r="Y124" s="84">
        <f>IF(N124&gt;0.01,(T124-VLOOKUP(T124,quincenal,1))*VLOOKUP(T124,quincenal,3)+VLOOKUP(T124,quincenal,2)-VLOOKUP(T124,subquincenal,2),0)</f>
        <v>-71.944399999999973</v>
      </c>
      <c r="Z124" s="83">
        <f>TRUNC(IF(Y124&gt;0.01,Y124,0),2)</f>
        <v>0</v>
      </c>
      <c r="AA124" s="142">
        <f>TRUNC(IF(Y124&lt;0.01,-Y124,0),2)</f>
        <v>71.94</v>
      </c>
      <c r="AB124" s="142">
        <f>U124-W124-X124-Z124+AA124</f>
        <v>2288</v>
      </c>
      <c r="AC124" s="143"/>
      <c r="AD124" s="138"/>
      <c r="AG124" s="91"/>
    </row>
    <row r="125" spans="1:33" s="40" customFormat="1" ht="36" customHeight="1">
      <c r="A125" s="105"/>
      <c r="B125" s="188"/>
      <c r="C125" s="188"/>
      <c r="D125" s="64" t="s">
        <v>603</v>
      </c>
      <c r="E125" s="150" t="s">
        <v>448</v>
      </c>
      <c r="F125" s="65"/>
      <c r="G125" s="66"/>
      <c r="H125" s="107" t="s">
        <v>602</v>
      </c>
      <c r="I125" s="72">
        <v>15</v>
      </c>
      <c r="J125" s="72" t="s">
        <v>272</v>
      </c>
      <c r="K125" s="72"/>
      <c r="L125" s="73">
        <v>0</v>
      </c>
      <c r="M125" s="74">
        <v>0</v>
      </c>
      <c r="N125" s="80">
        <v>147.9014</v>
      </c>
      <c r="O125" s="81">
        <f t="shared" ref="O125" si="167">TRUNC(N125*I125,2)</f>
        <v>2218.52</v>
      </c>
      <c r="P125" s="82">
        <f t="shared" ref="P125" si="168">TRUNC(N125*I125*0.04,2)</f>
        <v>88.74</v>
      </c>
      <c r="Q125" s="81">
        <f t="shared" ref="Q125" si="169">TRUNC(N125*0.07*I125,2)</f>
        <v>155.29</v>
      </c>
      <c r="R125" s="83">
        <f t="shared" ref="R125" si="170">L125</f>
        <v>0</v>
      </c>
      <c r="S125" s="81">
        <f t="shared" ref="S125" si="171">TRUNC(Q125+P125+(IF(R125&gt;519,519,R125))+IF(K125=0,0,K125*N125),2)</f>
        <v>244.03</v>
      </c>
      <c r="T125" s="81">
        <f t="shared" ref="T125" si="172">TRUNC((IF(K125=0,I125*N125,(I125-K125)*N125))+(IF(R125&lt;519,0,R125-519)),2)+M125</f>
        <v>2218.52</v>
      </c>
      <c r="U125" s="81">
        <f t="shared" ref="U125" si="173">S125+T125</f>
        <v>2462.5500000000002</v>
      </c>
      <c r="V125" s="81"/>
      <c r="W125" s="81"/>
      <c r="X125" s="81">
        <v>0</v>
      </c>
      <c r="Y125" s="84">
        <f t="shared" ref="Y125" si="174">IF(N125&gt;0.01,(T125-VLOOKUP(T125,quincenal,1))*VLOOKUP(T125,quincenal,3)+VLOOKUP(T125,quincenal,2)-VLOOKUP(T125,subquincenal,2),0)</f>
        <v>-37.458112000000028</v>
      </c>
      <c r="Z125" s="81">
        <f t="shared" ref="Z125" si="175">TRUNC(IF(Y125&gt;0.01,Y125,0),2)</f>
        <v>0</v>
      </c>
      <c r="AA125" s="85">
        <f t="shared" ref="AA125" si="176">TRUNC(IF(Y125&lt;0.01,-Y125,0),2)</f>
        <v>37.450000000000003</v>
      </c>
      <c r="AB125" s="85">
        <f t="shared" ref="AB125" si="177">U125-W125-X125-Z125+AA125</f>
        <v>2500</v>
      </c>
      <c r="AC125" s="86"/>
      <c r="AD125" s="73"/>
      <c r="AE125" s="40">
        <v>71</v>
      </c>
      <c r="AG125" s="91"/>
    </row>
    <row r="126" spans="1:33" s="40" customFormat="1" ht="12.75">
      <c r="A126" s="105"/>
      <c r="B126" s="180"/>
      <c r="C126" s="180"/>
      <c r="D126" s="95" t="s">
        <v>158</v>
      </c>
      <c r="E126" s="43"/>
      <c r="F126" s="43"/>
      <c r="G126" s="44"/>
      <c r="H126" s="96"/>
      <c r="I126" s="51"/>
      <c r="J126" s="51"/>
      <c r="K126" s="51"/>
      <c r="L126" s="52"/>
      <c r="M126" s="53"/>
      <c r="N126" s="97"/>
      <c r="O126" s="98">
        <f>SUM(O121:O125)</f>
        <v>13505.900000000001</v>
      </c>
      <c r="P126" s="98">
        <f t="shared" ref="P126:AB126" si="178">SUM(P121:P125)</f>
        <v>540.22</v>
      </c>
      <c r="Q126" s="98">
        <f t="shared" si="178"/>
        <v>945.4</v>
      </c>
      <c r="R126" s="98">
        <f t="shared" si="178"/>
        <v>0</v>
      </c>
      <c r="S126" s="98">
        <f t="shared" si="178"/>
        <v>1485.62</v>
      </c>
      <c r="T126" s="98">
        <f t="shared" si="178"/>
        <v>13505.900000000001</v>
      </c>
      <c r="U126" s="98">
        <f t="shared" si="178"/>
        <v>14991.52</v>
      </c>
      <c r="V126" s="98">
        <f t="shared" si="178"/>
        <v>0</v>
      </c>
      <c r="W126" s="98">
        <f t="shared" si="178"/>
        <v>0</v>
      </c>
      <c r="X126" s="98">
        <f t="shared" si="178"/>
        <v>0</v>
      </c>
      <c r="Y126" s="98">
        <f t="shared" si="178"/>
        <v>173.40031999999997</v>
      </c>
      <c r="Z126" s="98">
        <f t="shared" si="178"/>
        <v>282.78999999999996</v>
      </c>
      <c r="AA126" s="98">
        <f t="shared" si="178"/>
        <v>109.39</v>
      </c>
      <c r="AB126" s="98">
        <f t="shared" si="178"/>
        <v>14818.12</v>
      </c>
      <c r="AC126" s="99"/>
      <c r="AD126" s="52"/>
    </row>
    <row r="127" spans="1:33" s="40" customFormat="1">
      <c r="A127" s="105"/>
      <c r="B127" s="180"/>
      <c r="C127" s="180"/>
      <c r="D127" s="127"/>
      <c r="E127" s="43"/>
      <c r="F127" s="43"/>
      <c r="G127" s="44"/>
      <c r="H127" s="96"/>
      <c r="I127" s="51"/>
      <c r="J127" s="51"/>
      <c r="K127" s="51"/>
      <c r="L127" s="52"/>
      <c r="M127" s="53"/>
      <c r="N127" s="97"/>
      <c r="O127" s="88"/>
      <c r="P127" s="181"/>
      <c r="Q127" s="88"/>
      <c r="R127" s="146"/>
      <c r="S127" s="88"/>
      <c r="T127" s="88"/>
      <c r="U127" s="88"/>
      <c r="V127" s="88"/>
      <c r="W127" s="88"/>
      <c r="X127" s="88"/>
      <c r="Y127" s="91"/>
      <c r="Z127" s="88"/>
      <c r="AA127" s="182"/>
      <c r="AB127" s="182"/>
      <c r="AC127" s="99"/>
      <c r="AD127" s="52"/>
    </row>
    <row r="128" spans="1:33" s="40" customFormat="1" ht="12.75">
      <c r="A128" s="105"/>
      <c r="B128" s="180"/>
      <c r="C128" s="180"/>
      <c r="D128" s="95" t="s">
        <v>159</v>
      </c>
      <c r="E128" s="43"/>
      <c r="F128" s="43"/>
      <c r="G128" s="44"/>
      <c r="H128" s="96"/>
      <c r="I128" s="51"/>
      <c r="J128" s="51"/>
      <c r="K128" s="51"/>
      <c r="L128" s="52"/>
      <c r="M128" s="53"/>
      <c r="N128" s="97"/>
      <c r="O128" s="88"/>
      <c r="P128" s="181"/>
      <c r="Q128" s="88"/>
      <c r="R128" s="146"/>
      <c r="S128" s="88"/>
      <c r="T128" s="88"/>
      <c r="U128" s="88"/>
      <c r="V128" s="88"/>
      <c r="W128" s="88"/>
      <c r="X128" s="88"/>
      <c r="Y128" s="91"/>
      <c r="Z128" s="88"/>
      <c r="AA128" s="182"/>
      <c r="AB128" s="182"/>
      <c r="AC128" s="99"/>
      <c r="AD128" s="52"/>
    </row>
    <row r="129" spans="1:33" s="40" customFormat="1" ht="24" customHeight="1">
      <c r="A129" s="105">
        <v>63</v>
      </c>
      <c r="B129" s="179" t="s">
        <v>66</v>
      </c>
      <c r="C129" s="71" t="s">
        <v>31</v>
      </c>
      <c r="D129" s="64"/>
      <c r="E129" s="150" t="s">
        <v>449</v>
      </c>
      <c r="F129" s="65"/>
      <c r="G129" s="66"/>
      <c r="H129" s="103" t="s">
        <v>74</v>
      </c>
      <c r="I129" s="72">
        <v>0</v>
      </c>
      <c r="J129" s="72" t="s">
        <v>272</v>
      </c>
      <c r="K129" s="72"/>
      <c r="L129" s="73">
        <v>0</v>
      </c>
      <c r="M129" s="74">
        <v>0</v>
      </c>
      <c r="N129" s="80">
        <f>5198/15</f>
        <v>346.53333333333336</v>
      </c>
      <c r="O129" s="81">
        <f>TRUNC(N129*I129,2)</f>
        <v>0</v>
      </c>
      <c r="P129" s="82">
        <f>TRUNC(N129*I129*0.04,2)</f>
        <v>0</v>
      </c>
      <c r="Q129" s="81">
        <f>TRUNC(N129*0.07*I129,2)</f>
        <v>0</v>
      </c>
      <c r="R129" s="83">
        <f>L129</f>
        <v>0</v>
      </c>
      <c r="S129" s="81">
        <f>TRUNC(Q129+P129+(IF(R129&gt;519,519,R129))+IF(K129=0,0,K129*N129),2)</f>
        <v>0</v>
      </c>
      <c r="T129" s="81">
        <f>TRUNC((IF(K129=0,I129*N129,(I129-K129)*N129))+(IF(R129&lt;519,0,R129-519)),2)+M129</f>
        <v>0</v>
      </c>
      <c r="U129" s="81">
        <f>S129+T129</f>
        <v>0</v>
      </c>
      <c r="V129" s="81"/>
      <c r="W129" s="81"/>
      <c r="X129" s="81">
        <v>0</v>
      </c>
      <c r="Y129" s="84" t="e">
        <f>IF(N129&gt;0.01,(T129-VLOOKUP(T129,quincenal,1))*VLOOKUP(T129,quincenal,3)+VLOOKUP(T129,quincenal,2)-VLOOKUP(T129,subquincenal,2),0)</f>
        <v>#N/A</v>
      </c>
      <c r="Z129" s="81"/>
      <c r="AA129" s="85"/>
      <c r="AB129" s="85">
        <f>U129-W129-X129-Z129+AA129</f>
        <v>0</v>
      </c>
      <c r="AC129" s="86" t="e">
        <f>#REF!</f>
        <v>#REF!</v>
      </c>
      <c r="AD129" s="73"/>
      <c r="AE129" s="40">
        <v>72</v>
      </c>
      <c r="AG129" s="91"/>
    </row>
    <row r="130" spans="1:33" s="40" customFormat="1" ht="12.75">
      <c r="A130" s="105"/>
      <c r="B130" s="197"/>
      <c r="C130" s="180"/>
      <c r="D130" s="95" t="s">
        <v>159</v>
      </c>
      <c r="E130" s="43"/>
      <c r="F130" s="43"/>
      <c r="G130" s="44"/>
      <c r="H130" s="96"/>
      <c r="I130" s="51"/>
      <c r="J130" s="51"/>
      <c r="K130" s="51"/>
      <c r="L130" s="52"/>
      <c r="M130" s="53"/>
      <c r="N130" s="97"/>
      <c r="O130" s="98">
        <f t="shared" ref="O130:AB130" si="179">SUM(O129)</f>
        <v>0</v>
      </c>
      <c r="P130" s="98">
        <f t="shared" si="179"/>
        <v>0</v>
      </c>
      <c r="Q130" s="98">
        <f t="shared" si="179"/>
        <v>0</v>
      </c>
      <c r="R130" s="98">
        <f t="shared" si="179"/>
        <v>0</v>
      </c>
      <c r="S130" s="98">
        <f t="shared" si="179"/>
        <v>0</v>
      </c>
      <c r="T130" s="98">
        <f t="shared" si="179"/>
        <v>0</v>
      </c>
      <c r="U130" s="98">
        <f t="shared" si="179"/>
        <v>0</v>
      </c>
      <c r="V130" s="98">
        <f t="shared" si="179"/>
        <v>0</v>
      </c>
      <c r="W130" s="90">
        <f t="shared" si="179"/>
        <v>0</v>
      </c>
      <c r="X130" s="90">
        <f t="shared" si="179"/>
        <v>0</v>
      </c>
      <c r="Y130" s="98" t="e">
        <f t="shared" si="179"/>
        <v>#N/A</v>
      </c>
      <c r="Z130" s="98">
        <f t="shared" si="179"/>
        <v>0</v>
      </c>
      <c r="AA130" s="98">
        <f t="shared" si="179"/>
        <v>0</v>
      </c>
      <c r="AB130" s="98">
        <f t="shared" si="179"/>
        <v>0</v>
      </c>
      <c r="AC130" s="99"/>
      <c r="AD130" s="52"/>
    </row>
    <row r="131" spans="1:33" s="40" customFormat="1">
      <c r="A131" s="105"/>
      <c r="B131" s="197"/>
      <c r="C131" s="180"/>
      <c r="D131" s="127"/>
      <c r="E131" s="43"/>
      <c r="F131" s="43"/>
      <c r="G131" s="44"/>
      <c r="H131" s="96"/>
      <c r="I131" s="51"/>
      <c r="J131" s="51"/>
      <c r="K131" s="51"/>
      <c r="L131" s="52"/>
      <c r="M131" s="53"/>
      <c r="N131" s="97"/>
      <c r="O131" s="88"/>
      <c r="P131" s="181"/>
      <c r="Q131" s="88"/>
      <c r="R131" s="146"/>
      <c r="S131" s="88"/>
      <c r="T131" s="88"/>
      <c r="U131" s="88"/>
      <c r="V131" s="88"/>
      <c r="W131" s="88"/>
      <c r="X131" s="88"/>
      <c r="Y131" s="91"/>
      <c r="Z131" s="88"/>
      <c r="AA131" s="182"/>
      <c r="AB131" s="182"/>
      <c r="AC131" s="99"/>
      <c r="AD131" s="52"/>
    </row>
    <row r="132" spans="1:33" s="40" customFormat="1" ht="12.75">
      <c r="A132" s="105"/>
      <c r="B132" s="197"/>
      <c r="C132" s="180"/>
      <c r="D132" s="95" t="s">
        <v>519</v>
      </c>
      <c r="E132" s="43"/>
      <c r="F132" s="43"/>
      <c r="G132" s="44"/>
      <c r="H132" s="96"/>
      <c r="I132" s="51"/>
      <c r="J132" s="51"/>
      <c r="K132" s="51"/>
      <c r="L132" s="52"/>
      <c r="M132" s="53"/>
      <c r="N132" s="97"/>
      <c r="O132" s="88"/>
      <c r="P132" s="181"/>
      <c r="Q132" s="88"/>
      <c r="R132" s="146"/>
      <c r="S132" s="88"/>
      <c r="T132" s="88"/>
      <c r="U132" s="88"/>
      <c r="V132" s="88"/>
      <c r="W132" s="88"/>
      <c r="X132" s="88"/>
      <c r="Y132" s="91"/>
      <c r="Z132" s="88"/>
      <c r="AA132" s="182"/>
      <c r="AB132" s="182"/>
      <c r="AC132" s="99"/>
      <c r="AD132" s="52"/>
    </row>
    <row r="133" spans="1:33" s="40" customFormat="1" ht="36" customHeight="1">
      <c r="A133" s="105">
        <v>64</v>
      </c>
      <c r="B133" s="71" t="s">
        <v>66</v>
      </c>
      <c r="C133" s="71" t="s">
        <v>76</v>
      </c>
      <c r="D133" s="64" t="s">
        <v>604</v>
      </c>
      <c r="E133" s="65" t="s">
        <v>450</v>
      </c>
      <c r="F133" s="65"/>
      <c r="G133" s="66"/>
      <c r="H133" s="103" t="s">
        <v>605</v>
      </c>
      <c r="I133" s="72">
        <v>15</v>
      </c>
      <c r="J133" s="72" t="s">
        <v>272</v>
      </c>
      <c r="K133" s="72"/>
      <c r="L133" s="73">
        <v>0</v>
      </c>
      <c r="M133" s="74">
        <v>0</v>
      </c>
      <c r="N133" s="80">
        <v>260.28699999999998</v>
      </c>
      <c r="O133" s="81">
        <f>TRUNC(N133*I133,2)</f>
        <v>3904.3</v>
      </c>
      <c r="P133" s="82">
        <f>TRUNC(N133*I133*0.04,2)</f>
        <v>156.16999999999999</v>
      </c>
      <c r="Q133" s="81">
        <f>TRUNC(N133*0.07*I133,2)</f>
        <v>273.3</v>
      </c>
      <c r="R133" s="83">
        <f>L133</f>
        <v>0</v>
      </c>
      <c r="S133" s="81">
        <f>TRUNC(Q133+P133+(IF(R133&gt;519,519,R133))+IF(K133=0,0,K133*N133),2)</f>
        <v>429.47</v>
      </c>
      <c r="T133" s="81">
        <f>TRUNC((IF(K133=0,I133*N133,(I133-K133)*N133))+(IF(R133&lt;519,0,R133-519)),2)+M133</f>
        <v>3904.3</v>
      </c>
      <c r="U133" s="81">
        <f>S133+T133</f>
        <v>4333.7700000000004</v>
      </c>
      <c r="V133" s="81"/>
      <c r="W133" s="81"/>
      <c r="X133" s="81">
        <v>0</v>
      </c>
      <c r="Y133" s="84">
        <f>IF(N133&gt;0.01,(T133-VLOOKUP(T133,quincenal,1))*VLOOKUP(T133,quincenal,3)+VLOOKUP(T133,quincenal,2)-VLOOKUP(T133,subquincenal,2),0)</f>
        <v>333.77639999999997</v>
      </c>
      <c r="Z133" s="81">
        <f>TRUNC(IF(Y133&gt;0.01,Y133,0),2)</f>
        <v>333.77</v>
      </c>
      <c r="AA133" s="85">
        <f>TRUNC(IF(Y133&lt;0.01,-Y133,0),2)</f>
        <v>0</v>
      </c>
      <c r="AB133" s="85">
        <f>U133-W133-X133-Z133+AA133</f>
        <v>4000.0000000000005</v>
      </c>
      <c r="AC133" s="86" t="e">
        <f>#REF!</f>
        <v>#REF!</v>
      </c>
      <c r="AD133" s="73"/>
      <c r="AE133" s="40">
        <v>73</v>
      </c>
      <c r="AG133" s="91"/>
    </row>
    <row r="134" spans="1:33" s="40" customFormat="1" ht="36" customHeight="1">
      <c r="A134" s="105"/>
      <c r="B134" s="71"/>
      <c r="C134" s="71"/>
      <c r="D134" s="64" t="s">
        <v>669</v>
      </c>
      <c r="E134" s="65"/>
      <c r="F134" s="65"/>
      <c r="G134" s="66"/>
      <c r="H134" s="103" t="s">
        <v>520</v>
      </c>
      <c r="I134" s="132">
        <v>15</v>
      </c>
      <c r="J134" s="132" t="s">
        <v>272</v>
      </c>
      <c r="K134" s="132"/>
      <c r="L134" s="138">
        <v>0</v>
      </c>
      <c r="M134" s="139">
        <v>0</v>
      </c>
      <c r="N134" s="80">
        <v>147.9015</v>
      </c>
      <c r="O134" s="83">
        <f>TRUNC(N134*I134,2)</f>
        <v>2218.52</v>
      </c>
      <c r="P134" s="141">
        <f>TRUNC(N134*I134*0.04,2)</f>
        <v>88.74</v>
      </c>
      <c r="Q134" s="83">
        <f>TRUNC(N134*0.07*I134,2)</f>
        <v>155.29</v>
      </c>
      <c r="R134" s="83">
        <f>L134</f>
        <v>0</v>
      </c>
      <c r="S134" s="83">
        <f>TRUNC(Q134+P134+(IF(R134&gt;519,519,R134))+IF(K134=0,0,K134*N134),2)</f>
        <v>244.03</v>
      </c>
      <c r="T134" s="83">
        <f>TRUNC((IF(K134=0,I134*N134,(I134-K134)*N134))+(IF(R134&lt;519,0,R134-519)),2)+M134</f>
        <v>2218.52</v>
      </c>
      <c r="U134" s="83">
        <f>S134+T134</f>
        <v>2462.5500000000002</v>
      </c>
      <c r="V134" s="83"/>
      <c r="W134" s="83"/>
      <c r="X134" s="83"/>
      <c r="Y134" s="84">
        <f>IF(N134&gt;0.01,(T134-VLOOKUP(T134,quincenal,1))*VLOOKUP(T134,quincenal,3)+VLOOKUP(T134,quincenal,2)-VLOOKUP(T134,subquincenal,2),0)</f>
        <v>-37.458112000000028</v>
      </c>
      <c r="Z134" s="83">
        <f t="shared" ref="Z134" si="180">TRUNC(IF(Y134&gt;0.01,Y134,0),2)</f>
        <v>0</v>
      </c>
      <c r="AA134" s="142">
        <f t="shared" ref="AA134" si="181">TRUNC(IF(Y134&lt;0.01,-Y134,0),2)</f>
        <v>37.450000000000003</v>
      </c>
      <c r="AB134" s="142">
        <f>U134-W134-X134-Z134+AA134</f>
        <v>2500</v>
      </c>
      <c r="AC134" s="86" t="e">
        <f>#REF!</f>
        <v>#REF!</v>
      </c>
      <c r="AD134" s="73"/>
      <c r="AE134" s="40">
        <v>74</v>
      </c>
      <c r="AG134" s="91"/>
    </row>
    <row r="135" spans="1:33" s="40" customFormat="1" ht="12.75">
      <c r="A135" s="105"/>
      <c r="B135" s="180"/>
      <c r="C135" s="180"/>
      <c r="D135" s="95" t="s">
        <v>298</v>
      </c>
      <c r="E135" s="43"/>
      <c r="F135" s="43"/>
      <c r="G135" s="44"/>
      <c r="H135" s="96"/>
      <c r="I135" s="51"/>
      <c r="J135" s="51"/>
      <c r="K135" s="51"/>
      <c r="L135" s="52"/>
      <c r="M135" s="53"/>
      <c r="N135" s="97"/>
      <c r="O135" s="98">
        <f>SUM(O133:O134)</f>
        <v>6122.82</v>
      </c>
      <c r="P135" s="98">
        <f t="shared" ref="P135:AB135" si="182">SUM(P133:P134)</f>
        <v>244.90999999999997</v>
      </c>
      <c r="Q135" s="98">
        <f t="shared" si="182"/>
        <v>428.59000000000003</v>
      </c>
      <c r="R135" s="98">
        <f t="shared" si="182"/>
        <v>0</v>
      </c>
      <c r="S135" s="98">
        <f t="shared" si="182"/>
        <v>673.5</v>
      </c>
      <c r="T135" s="98">
        <f t="shared" si="182"/>
        <v>6122.82</v>
      </c>
      <c r="U135" s="98">
        <f t="shared" si="182"/>
        <v>6796.3200000000006</v>
      </c>
      <c r="V135" s="98">
        <f t="shared" si="182"/>
        <v>0</v>
      </c>
      <c r="W135" s="98">
        <f t="shared" si="182"/>
        <v>0</v>
      </c>
      <c r="X135" s="98">
        <f t="shared" si="182"/>
        <v>0</v>
      </c>
      <c r="Y135" s="98">
        <f t="shared" si="182"/>
        <v>296.31828799999994</v>
      </c>
      <c r="Z135" s="98">
        <f t="shared" si="182"/>
        <v>333.77</v>
      </c>
      <c r="AA135" s="98">
        <f t="shared" si="182"/>
        <v>37.450000000000003</v>
      </c>
      <c r="AB135" s="98">
        <f t="shared" si="182"/>
        <v>6500</v>
      </c>
      <c r="AC135" s="99"/>
      <c r="AD135" s="52"/>
    </row>
    <row r="136" spans="1:33" s="40" customFormat="1">
      <c r="A136" s="105"/>
      <c r="B136" s="180"/>
      <c r="C136" s="180"/>
      <c r="D136" s="127"/>
      <c r="E136" s="43"/>
      <c r="F136" s="43"/>
      <c r="G136" s="44"/>
      <c r="H136" s="96"/>
      <c r="I136" s="51"/>
      <c r="J136" s="51"/>
      <c r="K136" s="51"/>
      <c r="L136" s="52"/>
      <c r="M136" s="53"/>
      <c r="N136" s="97"/>
      <c r="O136" s="88"/>
      <c r="P136" s="181"/>
      <c r="Q136" s="88"/>
      <c r="R136" s="146"/>
      <c r="S136" s="88"/>
      <c r="T136" s="88"/>
      <c r="U136" s="88"/>
      <c r="V136" s="88"/>
      <c r="W136" s="88"/>
      <c r="X136" s="88"/>
      <c r="Y136" s="91"/>
      <c r="Z136" s="88"/>
      <c r="AA136" s="182"/>
      <c r="AB136" s="182"/>
      <c r="AC136" s="99"/>
      <c r="AD136" s="52"/>
    </row>
    <row r="137" spans="1:33" s="40" customFormat="1" ht="12.75">
      <c r="A137" s="105"/>
      <c r="B137" s="180"/>
      <c r="C137" s="180"/>
      <c r="D137" s="95" t="s">
        <v>299</v>
      </c>
      <c r="E137" s="43"/>
      <c r="F137" s="43"/>
      <c r="G137" s="44"/>
      <c r="H137" s="96"/>
      <c r="I137" s="51"/>
      <c r="J137" s="51"/>
      <c r="K137" s="51"/>
      <c r="L137" s="52"/>
      <c r="M137" s="53"/>
      <c r="N137" s="97"/>
      <c r="O137" s="88"/>
      <c r="P137" s="181"/>
      <c r="Q137" s="88"/>
      <c r="R137" s="146"/>
      <c r="S137" s="88"/>
      <c r="T137" s="88"/>
      <c r="U137" s="88"/>
      <c r="V137" s="88"/>
      <c r="W137" s="88"/>
      <c r="X137" s="88"/>
      <c r="Y137" s="91"/>
      <c r="Z137" s="88"/>
      <c r="AA137" s="182"/>
      <c r="AB137" s="182"/>
      <c r="AC137" s="99"/>
      <c r="AD137" s="52"/>
    </row>
    <row r="138" spans="1:33" s="40" customFormat="1" ht="36.75" customHeight="1">
      <c r="A138" s="105"/>
      <c r="B138" s="180"/>
      <c r="C138" s="180"/>
      <c r="D138" s="64" t="s">
        <v>586</v>
      </c>
      <c r="E138" s="150"/>
      <c r="F138" s="65"/>
      <c r="G138" s="66"/>
      <c r="H138" s="107" t="s">
        <v>40</v>
      </c>
      <c r="I138" s="72">
        <v>15</v>
      </c>
      <c r="J138" s="72" t="s">
        <v>272</v>
      </c>
      <c r="K138" s="72"/>
      <c r="L138" s="73">
        <v>0</v>
      </c>
      <c r="M138" s="74">
        <v>0</v>
      </c>
      <c r="N138" s="80">
        <v>405.53410000000002</v>
      </c>
      <c r="O138" s="81">
        <f>TRUNC(N138*I138,2)</f>
        <v>6083.01</v>
      </c>
      <c r="P138" s="82">
        <f>TRUNC(N138*I138*0.04,2)</f>
        <v>243.32</v>
      </c>
      <c r="Q138" s="81">
        <f>TRUNC(N138*0.07*I138,2)</f>
        <v>425.81</v>
      </c>
      <c r="R138" s="83">
        <f>L138</f>
        <v>0</v>
      </c>
      <c r="S138" s="81">
        <f>TRUNC(Q138+P138+(IF(R138&gt;519,519,R138))+IF(K138=0,0,K138*N138),2)</f>
        <v>669.13</v>
      </c>
      <c r="T138" s="81">
        <f>TRUNC((IF(K138=0,I138*N138,(I138-K138)*N138))+(IF(R138&lt;519,0,R138-519)),2)+M138</f>
        <v>6083.01</v>
      </c>
      <c r="U138" s="81">
        <f>S138+T138</f>
        <v>6752.14</v>
      </c>
      <c r="V138" s="81"/>
      <c r="W138" s="81"/>
      <c r="X138" s="81">
        <v>0</v>
      </c>
      <c r="Y138" s="84">
        <f>IF(N138&gt;0.01,(T138-VLOOKUP(T138,quincenal,1))*VLOOKUP(T138,quincenal,3)+VLOOKUP(T138,quincenal,2)-VLOOKUP(T138,subquincenal,2),0)</f>
        <v>752.1417600000002</v>
      </c>
      <c r="Z138" s="81">
        <f>TRUNC(IF(Y138&gt;0.01,Y138,0),2)</f>
        <v>752.14</v>
      </c>
      <c r="AA138" s="85">
        <f>TRUNC(IF(Y138&lt;0.01,-Y138,0),2)</f>
        <v>0</v>
      </c>
      <c r="AB138" s="85">
        <f>U138-W138-X138-Z138+AA138</f>
        <v>6000</v>
      </c>
      <c r="AC138" s="86"/>
      <c r="AD138" s="73"/>
      <c r="AE138" s="40">
        <v>75</v>
      </c>
    </row>
    <row r="139" spans="1:33" s="40" customFormat="1" ht="36" customHeight="1">
      <c r="A139" s="105">
        <v>66</v>
      </c>
      <c r="B139" s="71" t="s">
        <v>66</v>
      </c>
      <c r="C139" s="71" t="s">
        <v>78</v>
      </c>
      <c r="D139" s="64" t="s">
        <v>618</v>
      </c>
      <c r="E139" s="147" t="s">
        <v>178</v>
      </c>
      <c r="F139" s="147" t="s">
        <v>213</v>
      </c>
      <c r="G139" s="148">
        <v>39083</v>
      </c>
      <c r="H139" s="103" t="s">
        <v>277</v>
      </c>
      <c r="I139" s="72">
        <v>15</v>
      </c>
      <c r="J139" s="72" t="s">
        <v>272</v>
      </c>
      <c r="K139" s="72"/>
      <c r="L139" s="73">
        <v>0</v>
      </c>
      <c r="M139" s="74">
        <v>0</v>
      </c>
      <c r="N139" s="80">
        <v>274.0419</v>
      </c>
      <c r="O139" s="81">
        <f t="shared" ref="O139:O141" si="183">TRUNC(N139*I139,2)</f>
        <v>4110.62</v>
      </c>
      <c r="P139" s="82">
        <f t="shared" ref="P139:P141" si="184">TRUNC(N139*I139*0.04,2)</f>
        <v>164.42</v>
      </c>
      <c r="Q139" s="81">
        <f t="shared" ref="Q139:Q141" si="185">TRUNC(N139*0.07*I139,2)</f>
        <v>287.74</v>
      </c>
      <c r="R139" s="83">
        <f t="shared" ref="R139:R141" si="186">L139</f>
        <v>0</v>
      </c>
      <c r="S139" s="81">
        <f t="shared" ref="S139:S141" si="187">TRUNC(Q139+P139+(IF(R139&gt;519,519,R139))+IF(K139=0,0,K139*N139),2)</f>
        <v>452.16</v>
      </c>
      <c r="T139" s="81">
        <f t="shared" ref="T139:T141" si="188">TRUNC((IF(K139=0,I139*N139,(I139-K139)*N139))+(IF(R139&lt;519,0,R139-519)),2)+M139</f>
        <v>4110.62</v>
      </c>
      <c r="U139" s="81">
        <f t="shared" ref="U139:U141" si="189">S139+T139</f>
        <v>4562.78</v>
      </c>
      <c r="V139" s="81"/>
      <c r="W139" s="81"/>
      <c r="X139" s="81">
        <v>0</v>
      </c>
      <c r="Y139" s="84">
        <f t="shared" ref="Y139" si="190">IF(N139&gt;0.01,(T139-VLOOKUP(T139,quincenal,1))*VLOOKUP(T139,quincenal,3)+VLOOKUP(T139,quincenal,2)-VLOOKUP(T139,subquincenal,2),0)</f>
        <v>366.78759999999994</v>
      </c>
      <c r="Z139" s="81">
        <f>TRUNC(IF(Y139&gt;0.01,Y139,0),2)</f>
        <v>366.78</v>
      </c>
      <c r="AA139" s="85">
        <f>TRUNC(IF(Y139&lt;0.01,-Y139,0),2)</f>
        <v>0</v>
      </c>
      <c r="AB139" s="85">
        <f t="shared" ref="AB139:AB141" si="191">U139-W139-X139-Z139+AA139</f>
        <v>4196</v>
      </c>
      <c r="AC139" s="86" t="e">
        <f>#REF!</f>
        <v>#REF!</v>
      </c>
      <c r="AD139" s="73"/>
      <c r="AE139" s="40">
        <v>76</v>
      </c>
      <c r="AG139" s="91"/>
    </row>
    <row r="140" spans="1:33" s="40" customFormat="1" ht="4.5" customHeight="1">
      <c r="A140" s="105">
        <v>63</v>
      </c>
      <c r="B140" s="71">
        <v>3</v>
      </c>
      <c r="C140" s="71">
        <v>13</v>
      </c>
      <c r="D140" s="64"/>
      <c r="E140" s="147" t="s">
        <v>451</v>
      </c>
      <c r="F140" s="147" t="s">
        <v>452</v>
      </c>
      <c r="G140" s="148">
        <v>39814</v>
      </c>
      <c r="H140" s="107" t="s">
        <v>19</v>
      </c>
      <c r="I140" s="72">
        <v>0</v>
      </c>
      <c r="J140" s="72" t="s">
        <v>272</v>
      </c>
      <c r="K140" s="72"/>
      <c r="L140" s="73">
        <v>0</v>
      </c>
      <c r="M140" s="74">
        <v>0</v>
      </c>
      <c r="N140" s="80">
        <v>170.38</v>
      </c>
      <c r="O140" s="81">
        <f t="shared" si="183"/>
        <v>0</v>
      </c>
      <c r="P140" s="82">
        <f t="shared" si="184"/>
        <v>0</v>
      </c>
      <c r="Q140" s="81">
        <f t="shared" si="185"/>
        <v>0</v>
      </c>
      <c r="R140" s="83">
        <f t="shared" si="186"/>
        <v>0</v>
      </c>
      <c r="S140" s="81">
        <f t="shared" si="187"/>
        <v>0</v>
      </c>
      <c r="T140" s="81">
        <f t="shared" si="188"/>
        <v>0</v>
      </c>
      <c r="U140" s="81">
        <f t="shared" si="189"/>
        <v>0</v>
      </c>
      <c r="V140" s="81"/>
      <c r="W140" s="81">
        <v>0</v>
      </c>
      <c r="X140" s="81">
        <v>0</v>
      </c>
      <c r="Y140" s="84"/>
      <c r="Z140" s="81"/>
      <c r="AA140" s="85"/>
      <c r="AB140" s="85">
        <f t="shared" si="191"/>
        <v>0</v>
      </c>
      <c r="AC140" s="86" t="e">
        <f>#REF!</f>
        <v>#REF!</v>
      </c>
      <c r="AD140" s="73"/>
      <c r="AG140" s="91"/>
    </row>
    <row r="141" spans="1:33" s="40" customFormat="1" ht="36" customHeight="1">
      <c r="A141" s="105">
        <v>67</v>
      </c>
      <c r="B141" s="71"/>
      <c r="C141" s="71"/>
      <c r="D141" s="64" t="s">
        <v>587</v>
      </c>
      <c r="E141" s="150" t="s">
        <v>453</v>
      </c>
      <c r="F141" s="65"/>
      <c r="G141" s="66"/>
      <c r="H141" s="103" t="s">
        <v>646</v>
      </c>
      <c r="I141" s="72">
        <v>15</v>
      </c>
      <c r="J141" s="72" t="s">
        <v>272</v>
      </c>
      <c r="K141" s="72"/>
      <c r="L141" s="73">
        <v>0</v>
      </c>
      <c r="M141" s="74">
        <v>0</v>
      </c>
      <c r="N141" s="80">
        <v>147.369</v>
      </c>
      <c r="O141" s="81">
        <f t="shared" si="183"/>
        <v>2210.5300000000002</v>
      </c>
      <c r="P141" s="82">
        <f t="shared" si="184"/>
        <v>88.42</v>
      </c>
      <c r="Q141" s="81">
        <f t="shared" si="185"/>
        <v>154.72999999999999</v>
      </c>
      <c r="R141" s="83">
        <f t="shared" si="186"/>
        <v>0</v>
      </c>
      <c r="S141" s="81">
        <f t="shared" si="187"/>
        <v>243.15</v>
      </c>
      <c r="T141" s="81">
        <f t="shared" si="188"/>
        <v>2210.5300000000002</v>
      </c>
      <c r="U141" s="81">
        <f t="shared" si="189"/>
        <v>2453.6800000000003</v>
      </c>
      <c r="V141" s="81"/>
      <c r="W141" s="81"/>
      <c r="X141" s="81"/>
      <c r="Y141" s="84">
        <f t="shared" ref="Y141" si="192">IF(N141&gt;0.01,(T141-VLOOKUP(T141,quincenal,1))*VLOOKUP(T141,quincenal,3)+VLOOKUP(T141,quincenal,2)-VLOOKUP(T141,subquincenal,2),0)</f>
        <v>-38.327424000000008</v>
      </c>
      <c r="Z141" s="81">
        <f t="shared" ref="Z141" si="193">TRUNC(IF(Y141&gt;0.01,Y141,0),2)</f>
        <v>0</v>
      </c>
      <c r="AA141" s="85">
        <f t="shared" ref="AA141" si="194">TRUNC(IF(Y141&lt;0.01,-Y141,0),2)</f>
        <v>38.32</v>
      </c>
      <c r="AB141" s="85">
        <f t="shared" si="191"/>
        <v>2492.0000000000005</v>
      </c>
      <c r="AC141" s="86"/>
      <c r="AD141" s="73"/>
      <c r="AE141" s="40">
        <v>77</v>
      </c>
      <c r="AG141" s="91"/>
    </row>
    <row r="142" spans="1:33" s="40" customFormat="1" ht="36" customHeight="1">
      <c r="A142" s="105"/>
      <c r="B142" s="71"/>
      <c r="C142" s="71"/>
      <c r="D142" s="64" t="s">
        <v>645</v>
      </c>
      <c r="E142" s="150"/>
      <c r="F142" s="65"/>
      <c r="G142" s="66"/>
      <c r="H142" s="103" t="s">
        <v>646</v>
      </c>
      <c r="I142" s="72">
        <v>15</v>
      </c>
      <c r="J142" s="72" t="s">
        <v>272</v>
      </c>
      <c r="K142" s="72"/>
      <c r="L142" s="73">
        <v>0</v>
      </c>
      <c r="M142" s="74">
        <v>0</v>
      </c>
      <c r="N142" s="80">
        <v>147.369</v>
      </c>
      <c r="O142" s="81">
        <f>TRUNC(N142*I142,2)</f>
        <v>2210.5300000000002</v>
      </c>
      <c r="P142" s="82">
        <f>TRUNC(N142*I142*0.04,2)</f>
        <v>88.42</v>
      </c>
      <c r="Q142" s="81">
        <f>TRUNC(N142*0.07*I142,2)</f>
        <v>154.72999999999999</v>
      </c>
      <c r="R142" s="83">
        <f>L142</f>
        <v>0</v>
      </c>
      <c r="S142" s="81">
        <f>TRUNC(Q142+P142+(IF(R142&gt;519,519,R142))+IF(K142=0,0,K142*N142),2)</f>
        <v>243.15</v>
      </c>
      <c r="T142" s="81">
        <f>TRUNC((IF(K142=0,I142*N142,(I142-K142)*N142))+(IF(R142&lt;519,0,R142-519)),2)+M142</f>
        <v>2210.5300000000002</v>
      </c>
      <c r="U142" s="81">
        <f>S142+T142</f>
        <v>2453.6800000000003</v>
      </c>
      <c r="V142" s="81"/>
      <c r="W142" s="81"/>
      <c r="X142" s="81">
        <v>0</v>
      </c>
      <c r="Y142" s="84">
        <f>IF(N142&gt;0.01,(T142-VLOOKUP(T142,quincenal,1))*VLOOKUP(T142,quincenal,3)+VLOOKUP(T142,quincenal,2)-VLOOKUP(T142,subquincenal,2),0)</f>
        <v>-38.327424000000008</v>
      </c>
      <c r="Z142" s="81">
        <f t="shared" ref="Z142" si="195">TRUNC(IF(Y142&gt;0.01,Y142,0),2)</f>
        <v>0</v>
      </c>
      <c r="AA142" s="85">
        <f t="shared" ref="AA142" si="196">TRUNC(IF(Y142&lt;0.01,-Y142,0),2)</f>
        <v>38.32</v>
      </c>
      <c r="AB142" s="85">
        <f>U142-W142-X142-Z142+AA142</f>
        <v>2492.0000000000005</v>
      </c>
      <c r="AC142" s="86"/>
      <c r="AD142" s="73"/>
      <c r="AE142" s="40">
        <v>78</v>
      </c>
      <c r="AG142" s="91"/>
    </row>
    <row r="143" spans="1:33" s="40" customFormat="1" ht="12.75">
      <c r="A143" s="105"/>
      <c r="B143" s="180"/>
      <c r="C143" s="180"/>
      <c r="D143" s="95" t="s">
        <v>299</v>
      </c>
      <c r="E143" s="43"/>
      <c r="F143" s="43"/>
      <c r="G143" s="44"/>
      <c r="H143" s="96"/>
      <c r="I143" s="51"/>
      <c r="J143" s="51"/>
      <c r="K143" s="51"/>
      <c r="L143" s="52"/>
      <c r="M143" s="53"/>
      <c r="N143" s="97"/>
      <c r="O143" s="98">
        <f t="shared" ref="O143:AB143" si="197">SUM(O138:O142)</f>
        <v>14614.690000000002</v>
      </c>
      <c r="P143" s="98">
        <f t="shared" si="197"/>
        <v>584.58000000000004</v>
      </c>
      <c r="Q143" s="98">
        <f t="shared" si="197"/>
        <v>1023.01</v>
      </c>
      <c r="R143" s="98">
        <f t="shared" si="197"/>
        <v>0</v>
      </c>
      <c r="S143" s="98">
        <f t="shared" si="197"/>
        <v>1607.5900000000001</v>
      </c>
      <c r="T143" s="98">
        <f t="shared" si="197"/>
        <v>14614.690000000002</v>
      </c>
      <c r="U143" s="98">
        <f t="shared" si="197"/>
        <v>16222.28</v>
      </c>
      <c r="V143" s="98">
        <f t="shared" si="197"/>
        <v>0</v>
      </c>
      <c r="W143" s="98">
        <f t="shared" si="197"/>
        <v>0</v>
      </c>
      <c r="X143" s="98">
        <f t="shared" si="197"/>
        <v>0</v>
      </c>
      <c r="Y143" s="98">
        <f t="shared" si="197"/>
        <v>1042.274512</v>
      </c>
      <c r="Z143" s="98">
        <f t="shared" si="197"/>
        <v>1118.92</v>
      </c>
      <c r="AA143" s="98">
        <f t="shared" si="197"/>
        <v>76.64</v>
      </c>
      <c r="AB143" s="98">
        <f t="shared" si="197"/>
        <v>15180</v>
      </c>
      <c r="AC143" s="99"/>
      <c r="AD143" s="52"/>
    </row>
    <row r="144" spans="1:33" s="40" customFormat="1">
      <c r="A144" s="105"/>
      <c r="B144" s="180"/>
      <c r="C144" s="180"/>
      <c r="D144" s="127"/>
      <c r="E144" s="43"/>
      <c r="F144" s="43"/>
      <c r="G144" s="44"/>
      <c r="H144" s="96"/>
      <c r="I144" s="51"/>
      <c r="J144" s="51"/>
      <c r="K144" s="51"/>
      <c r="L144" s="52"/>
      <c r="M144" s="53"/>
      <c r="N144" s="97"/>
      <c r="O144" s="88"/>
      <c r="P144" s="181"/>
      <c r="Q144" s="88"/>
      <c r="R144" s="146"/>
      <c r="S144" s="88"/>
      <c r="T144" s="88"/>
      <c r="U144" s="88"/>
      <c r="V144" s="88"/>
      <c r="W144" s="88"/>
      <c r="X144" s="88"/>
      <c r="Y144" s="91"/>
      <c r="Z144" s="88"/>
      <c r="AA144" s="182"/>
      <c r="AB144" s="182"/>
      <c r="AC144" s="99"/>
      <c r="AD144" s="52"/>
    </row>
    <row r="145" spans="1:33" s="40" customFormat="1" ht="24" customHeight="1">
      <c r="A145" s="105"/>
      <c r="B145" s="180"/>
      <c r="C145" s="180"/>
      <c r="D145" s="95" t="s">
        <v>300</v>
      </c>
      <c r="E145" s="43"/>
      <c r="F145" s="43"/>
      <c r="G145" s="44"/>
      <c r="H145" s="96"/>
      <c r="I145" s="51"/>
      <c r="J145" s="51"/>
      <c r="K145" s="51"/>
      <c r="L145" s="52"/>
      <c r="M145" s="53"/>
      <c r="N145" s="97"/>
      <c r="O145" s="88"/>
      <c r="P145" s="181"/>
      <c r="Q145" s="88"/>
      <c r="R145" s="146"/>
      <c r="S145" s="88"/>
      <c r="T145" s="88"/>
      <c r="U145" s="88"/>
      <c r="V145" s="88"/>
      <c r="W145" s="88"/>
      <c r="X145" s="88"/>
      <c r="Y145" s="91"/>
      <c r="Z145" s="88"/>
      <c r="AA145" s="182"/>
      <c r="AB145" s="182"/>
      <c r="AC145" s="99"/>
      <c r="AD145" s="52"/>
    </row>
    <row r="146" spans="1:33" s="40" customFormat="1" ht="36" customHeight="1">
      <c r="A146" s="105">
        <v>69</v>
      </c>
      <c r="B146" s="71"/>
      <c r="C146" s="71"/>
      <c r="D146" s="64" t="s">
        <v>596</v>
      </c>
      <c r="E146" s="147" t="s">
        <v>189</v>
      </c>
      <c r="F146" s="147" t="s">
        <v>224</v>
      </c>
      <c r="G146" s="148">
        <v>39569</v>
      </c>
      <c r="H146" s="103" t="s">
        <v>597</v>
      </c>
      <c r="I146" s="72">
        <v>15</v>
      </c>
      <c r="J146" s="72" t="s">
        <v>272</v>
      </c>
      <c r="K146" s="72"/>
      <c r="L146" s="73">
        <v>0</v>
      </c>
      <c r="M146" s="74">
        <v>0</v>
      </c>
      <c r="N146" s="186">
        <v>491.06200000000001</v>
      </c>
      <c r="O146" s="81">
        <f t="shared" ref="O146" si="198">TRUNC(N146*I146,2)</f>
        <v>7365.93</v>
      </c>
      <c r="P146" s="82">
        <f t="shared" ref="P146" si="199">TRUNC(N146*I146*0.04,2)</f>
        <v>294.63</v>
      </c>
      <c r="Q146" s="81">
        <f t="shared" ref="Q146" si="200">TRUNC(N146*0.07*I146,2)</f>
        <v>515.61</v>
      </c>
      <c r="R146" s="187">
        <f t="shared" ref="R146" si="201">L146</f>
        <v>0</v>
      </c>
      <c r="S146" s="81">
        <f t="shared" ref="S146" si="202">TRUNC(Q146+P146+(IF(R146&gt;519,519,R146))+IF(K146=0,0,K146*N146),2)</f>
        <v>810.24</v>
      </c>
      <c r="T146" s="81">
        <f t="shared" ref="T146" si="203">TRUNC((IF(K146=0,I146*N146,(I146-K146)*N146))+(IF(R146&lt;519,0,R146-519)),2)+M146</f>
        <v>7365.93</v>
      </c>
      <c r="U146" s="81">
        <f t="shared" ref="U146" si="204">S146+T146</f>
        <v>8176.17</v>
      </c>
      <c r="V146" s="81"/>
      <c r="W146" s="81"/>
      <c r="X146" s="81">
        <v>0</v>
      </c>
      <c r="Y146" s="84">
        <f t="shared" ref="Y146" si="205">IF(N146&gt;0.01,(T146-VLOOKUP(T146,quincenal,1))*VLOOKUP(T146,quincenal,3)+VLOOKUP(T146,quincenal,2)-VLOOKUP(T146,subquincenal,2),0)</f>
        <v>1026.1734720000002</v>
      </c>
      <c r="Z146" s="81">
        <f t="shared" ref="Z146" si="206">TRUNC(IF(Y146&gt;0.01,Y146,0),2)</f>
        <v>1026.17</v>
      </c>
      <c r="AA146" s="85">
        <f t="shared" ref="AA146" si="207">TRUNC(IF(Y146&lt;0.01,-Y146,0),2)</f>
        <v>0</v>
      </c>
      <c r="AB146" s="85">
        <f t="shared" ref="AB146" si="208">U146-W146-X146-Z146+AA146</f>
        <v>7150</v>
      </c>
      <c r="AC146" s="86" t="e">
        <f>#REF!</f>
        <v>#REF!</v>
      </c>
      <c r="AD146" s="73"/>
      <c r="AE146" s="40">
        <v>79</v>
      </c>
      <c r="AG146" s="91"/>
    </row>
    <row r="147" spans="1:33" s="40" customFormat="1" ht="36" customHeight="1">
      <c r="A147" s="105">
        <v>70</v>
      </c>
      <c r="B147" s="71"/>
      <c r="C147" s="71"/>
      <c r="D147" s="64" t="s">
        <v>653</v>
      </c>
      <c r="E147" s="150" t="s">
        <v>521</v>
      </c>
      <c r="F147" s="65"/>
      <c r="G147" s="66"/>
      <c r="H147" s="103" t="s">
        <v>522</v>
      </c>
      <c r="I147" s="72">
        <v>15</v>
      </c>
      <c r="J147" s="72" t="s">
        <v>272</v>
      </c>
      <c r="K147" s="72"/>
      <c r="L147" s="73">
        <v>0</v>
      </c>
      <c r="M147" s="74">
        <v>0</v>
      </c>
      <c r="N147" s="80">
        <v>295.625</v>
      </c>
      <c r="O147" s="81">
        <f t="shared" ref="O147" si="209">TRUNC(N147*I147,2)</f>
        <v>4434.37</v>
      </c>
      <c r="P147" s="82">
        <f t="shared" ref="P147" si="210">TRUNC(N147*I147*0.04,2)</f>
        <v>177.37</v>
      </c>
      <c r="Q147" s="81">
        <f t="shared" ref="Q147" si="211">TRUNC(N147*0.07*I147,2)</f>
        <v>310.39999999999998</v>
      </c>
      <c r="R147" s="83">
        <f t="shared" ref="R147" si="212">L147</f>
        <v>0</v>
      </c>
      <c r="S147" s="81">
        <f t="shared" ref="S147" si="213">TRUNC(Q147+P147+(IF(R147&gt;519,519,R147))+IF(K147=0,0,K147*N147),2)</f>
        <v>487.77</v>
      </c>
      <c r="T147" s="81">
        <f t="shared" ref="T147" si="214">TRUNC((IF(K147=0,I147*N147,(I147-K147)*N147))+(IF(R147&lt;519,0,R147-519)),2)+M147</f>
        <v>4434.37</v>
      </c>
      <c r="U147" s="81">
        <f t="shared" ref="U147" si="215">S147+T147</f>
        <v>4922.1399999999994</v>
      </c>
      <c r="V147" s="81"/>
      <c r="W147" s="81"/>
      <c r="X147" s="81">
        <v>0</v>
      </c>
      <c r="Y147" s="84">
        <f t="shared" ref="Y147" si="216">IF(N147&gt;0.01,(T147-VLOOKUP(T147,quincenal,1))*VLOOKUP(T147,quincenal,3)+VLOOKUP(T147,quincenal,2)-VLOOKUP(T147,subquincenal,2),0)</f>
        <v>422.14459200000005</v>
      </c>
      <c r="Z147" s="81">
        <f t="shared" ref="Z147" si="217">TRUNC(IF(Y147&gt;0.01,Y147,0),2)</f>
        <v>422.14</v>
      </c>
      <c r="AA147" s="85">
        <f t="shared" ref="AA147" si="218">TRUNC(IF(Y147&lt;0.01,-Y147,0),2)</f>
        <v>0</v>
      </c>
      <c r="AB147" s="85">
        <f t="shared" ref="AB147" si="219">U147-W147-X147-Z147+AA147</f>
        <v>4499.9999999999991</v>
      </c>
      <c r="AC147" s="86"/>
      <c r="AD147" s="73"/>
      <c r="AE147" s="40">
        <v>80</v>
      </c>
      <c r="AG147" s="91"/>
    </row>
    <row r="148" spans="1:33" s="40" customFormat="1" ht="36" customHeight="1">
      <c r="A148" s="105"/>
      <c r="B148" s="71"/>
      <c r="C148" s="71"/>
      <c r="D148" s="64" t="s">
        <v>84</v>
      </c>
      <c r="E148" s="150"/>
      <c r="F148" s="65"/>
      <c r="G148" s="66"/>
      <c r="H148" s="103" t="s">
        <v>682</v>
      </c>
      <c r="I148" s="72">
        <v>15</v>
      </c>
      <c r="J148" s="72"/>
      <c r="K148" s="72"/>
      <c r="L148" s="73"/>
      <c r="M148" s="74"/>
      <c r="N148" s="80">
        <v>228.53</v>
      </c>
      <c r="O148" s="81">
        <f t="shared" ref="O148" si="220">TRUNC(N148*I148,2)</f>
        <v>3427.95</v>
      </c>
      <c r="P148" s="82">
        <f t="shared" ref="P148" si="221">TRUNC(N148*I148*0.04,2)</f>
        <v>137.11000000000001</v>
      </c>
      <c r="Q148" s="81">
        <f t="shared" ref="Q148" si="222">TRUNC(N148*0.07*I148,2)</f>
        <v>239.95</v>
      </c>
      <c r="R148" s="83">
        <f t="shared" ref="R148" si="223">L148</f>
        <v>0</v>
      </c>
      <c r="S148" s="81">
        <f t="shared" ref="S148" si="224">TRUNC(Q148+P148+(IF(R148&gt;519,519,R148))+IF(K148=0,0,K148*N148),2)</f>
        <v>377.06</v>
      </c>
      <c r="T148" s="81">
        <f t="shared" ref="T148" si="225">TRUNC((IF(K148=0,I148*N148,(I148-K148)*N148))+(IF(R148&lt;519,0,R148-519)),2)+M148</f>
        <v>3427.95</v>
      </c>
      <c r="U148" s="81">
        <f t="shared" ref="U148" si="226">S148+T148</f>
        <v>3805.0099999999998</v>
      </c>
      <c r="V148" s="81"/>
      <c r="W148" s="81"/>
      <c r="X148" s="81">
        <v>0</v>
      </c>
      <c r="Y148" s="84">
        <f t="shared" ref="Y148" si="227">IF(N148&gt;0.01,(T148-VLOOKUP(T148,quincenal,1))*VLOOKUP(T148,quincenal,3)+VLOOKUP(T148,quincenal,2)-VLOOKUP(T148,subquincenal,2),0)</f>
        <v>143.77787199999997</v>
      </c>
      <c r="Z148" s="81">
        <f t="shared" ref="Z148" si="228">TRUNC(IF(Y148&gt;0.01,Y148,0),2)</f>
        <v>143.77000000000001</v>
      </c>
      <c r="AA148" s="85">
        <f t="shared" ref="AA148" si="229">TRUNC(IF(Y148&lt;0.01,-Y148,0),2)</f>
        <v>0</v>
      </c>
      <c r="AB148" s="85">
        <f t="shared" ref="AB148" si="230">U148-W148-X148-Z148+AA148</f>
        <v>3661.24</v>
      </c>
      <c r="AC148" s="86"/>
      <c r="AD148" s="73"/>
      <c r="AE148" s="40">
        <v>81</v>
      </c>
      <c r="AG148" s="91"/>
    </row>
    <row r="149" spans="1:33" s="40" customFormat="1" ht="36" customHeight="1">
      <c r="A149" s="198">
        <v>80</v>
      </c>
      <c r="B149" s="71"/>
      <c r="C149" s="71"/>
      <c r="D149" s="64" t="s">
        <v>650</v>
      </c>
      <c r="E149" s="65"/>
      <c r="F149" s="65"/>
      <c r="G149" s="66"/>
      <c r="H149" s="67" t="s">
        <v>83</v>
      </c>
      <c r="I149" s="72">
        <v>15</v>
      </c>
      <c r="J149" s="72" t="s">
        <v>272</v>
      </c>
      <c r="K149" s="72"/>
      <c r="L149" s="73">
        <v>0</v>
      </c>
      <c r="M149" s="74">
        <v>0</v>
      </c>
      <c r="N149" s="80">
        <v>183.15199999999999</v>
      </c>
      <c r="O149" s="81">
        <f t="shared" ref="O149:O153" si="231">TRUNC(N149*I149,2)</f>
        <v>2747.28</v>
      </c>
      <c r="P149" s="82">
        <f t="shared" ref="P149:P153" si="232">TRUNC(N149*I149*0.04,2)</f>
        <v>109.89</v>
      </c>
      <c r="Q149" s="81">
        <f t="shared" ref="Q149:Q153" si="233">TRUNC(N149*0.07*I149,2)</f>
        <v>192.3</v>
      </c>
      <c r="R149" s="83">
        <f t="shared" ref="R149:R153" si="234">L149</f>
        <v>0</v>
      </c>
      <c r="S149" s="81">
        <f t="shared" ref="S149:S153" si="235">TRUNC(Q149+P149+(IF(R149&gt;519,519,R149))+IF(K149=0,0,K149*N149),2)</f>
        <v>302.19</v>
      </c>
      <c r="T149" s="81">
        <f t="shared" ref="T149:T153" si="236">TRUNC((IF(K149=0,I149*N149,(I149-K149)*N149))+(IF(R149&lt;519,0,R149-519)),2)+M149</f>
        <v>2747.28</v>
      </c>
      <c r="U149" s="81">
        <f t="shared" ref="U149:U153" si="237">S149+T149</f>
        <v>3049.4700000000003</v>
      </c>
      <c r="V149" s="81"/>
      <c r="W149" s="81"/>
      <c r="X149" s="81">
        <v>0</v>
      </c>
      <c r="Y149" s="84">
        <f t="shared" ref="Y149:Y153" si="238">IF(N149&gt;0.01,(T149-VLOOKUP(T149,quincenal,1))*VLOOKUP(T149,quincenal,3)+VLOOKUP(T149,quincenal,2)-VLOOKUP(T149,subquincenal,2),0)</f>
        <v>49.470976000000007</v>
      </c>
      <c r="Z149" s="81">
        <f>TRUNC(IF(Y149&gt;0.01,Y149,0),2)</f>
        <v>49.47</v>
      </c>
      <c r="AA149" s="85">
        <f>TRUNC(IF(Y149&lt;0.01,-Y149,0),2)</f>
        <v>0</v>
      </c>
      <c r="AB149" s="85">
        <f t="shared" ref="AB149:AB153" si="239">U149-W149-X149-Z149+AA149</f>
        <v>3000.0000000000005</v>
      </c>
      <c r="AC149" s="86"/>
      <c r="AD149" s="73"/>
      <c r="AE149" s="40">
        <v>82</v>
      </c>
      <c r="AG149" s="91"/>
    </row>
    <row r="150" spans="1:33" s="40" customFormat="1" ht="36" customHeight="1">
      <c r="A150" s="198"/>
      <c r="B150" s="71"/>
      <c r="C150" s="71"/>
      <c r="D150" s="64" t="s">
        <v>703</v>
      </c>
      <c r="E150" s="65"/>
      <c r="F150" s="65"/>
      <c r="G150" s="66"/>
      <c r="H150" s="103" t="s">
        <v>638</v>
      </c>
      <c r="I150" s="72">
        <v>15</v>
      </c>
      <c r="J150" s="72" t="s">
        <v>272</v>
      </c>
      <c r="K150" s="72"/>
      <c r="L150" s="73"/>
      <c r="M150" s="74"/>
      <c r="N150" s="151">
        <v>147.9015</v>
      </c>
      <c r="O150" s="81">
        <f t="shared" si="231"/>
        <v>2218.52</v>
      </c>
      <c r="P150" s="82">
        <f t="shared" si="232"/>
        <v>88.74</v>
      </c>
      <c r="Q150" s="81">
        <f t="shared" si="233"/>
        <v>155.29</v>
      </c>
      <c r="R150" s="83">
        <f t="shared" si="234"/>
        <v>0</v>
      </c>
      <c r="S150" s="81">
        <f t="shared" si="235"/>
        <v>244.03</v>
      </c>
      <c r="T150" s="81">
        <f t="shared" si="236"/>
        <v>2218.52</v>
      </c>
      <c r="U150" s="81">
        <f t="shared" si="237"/>
        <v>2462.5500000000002</v>
      </c>
      <c r="V150" s="81"/>
      <c r="W150" s="81"/>
      <c r="X150" s="81">
        <v>0</v>
      </c>
      <c r="Y150" s="84">
        <f t="shared" si="238"/>
        <v>-37.458112000000028</v>
      </c>
      <c r="Z150" s="81">
        <f>TRUNC(IF(Y150&gt;0.01,Y150,0),2)</f>
        <v>0</v>
      </c>
      <c r="AA150" s="85">
        <f>TRUNC(IF(Y150&lt;0.01,-Y150,0),2)</f>
        <v>37.450000000000003</v>
      </c>
      <c r="AB150" s="85">
        <f t="shared" si="239"/>
        <v>2500</v>
      </c>
      <c r="AC150" s="86"/>
      <c r="AD150" s="73"/>
      <c r="AE150" s="40">
        <v>84</v>
      </c>
      <c r="AG150" s="91"/>
    </row>
    <row r="151" spans="1:33" s="40" customFormat="1" ht="36" customHeight="1">
      <c r="A151" s="199"/>
      <c r="B151" s="188"/>
      <c r="C151" s="188"/>
      <c r="D151" s="64" t="s">
        <v>540</v>
      </c>
      <c r="E151" s="147" t="s">
        <v>176</v>
      </c>
      <c r="F151" s="147" t="s">
        <v>211</v>
      </c>
      <c r="G151" s="148">
        <v>37987</v>
      </c>
      <c r="H151" s="107" t="s">
        <v>687</v>
      </c>
      <c r="I151" s="72">
        <v>15</v>
      </c>
      <c r="J151" s="72" t="s">
        <v>272</v>
      </c>
      <c r="K151" s="72"/>
      <c r="L151" s="73">
        <v>0</v>
      </c>
      <c r="M151" s="74">
        <v>0</v>
      </c>
      <c r="N151" s="80">
        <v>217.7938</v>
      </c>
      <c r="O151" s="81">
        <f t="shared" si="231"/>
        <v>3266.9</v>
      </c>
      <c r="P151" s="82">
        <f t="shared" si="232"/>
        <v>130.66999999999999</v>
      </c>
      <c r="Q151" s="81">
        <f t="shared" si="233"/>
        <v>228.68</v>
      </c>
      <c r="R151" s="83">
        <f t="shared" si="234"/>
        <v>0</v>
      </c>
      <c r="S151" s="81">
        <f t="shared" si="235"/>
        <v>359.35</v>
      </c>
      <c r="T151" s="81">
        <f t="shared" si="236"/>
        <v>3266.9</v>
      </c>
      <c r="U151" s="81">
        <f t="shared" si="237"/>
        <v>3626.25</v>
      </c>
      <c r="V151" s="81"/>
      <c r="W151" s="81"/>
      <c r="X151" s="81">
        <v>0</v>
      </c>
      <c r="Y151" s="84">
        <f t="shared" si="238"/>
        <v>126.25563199999996</v>
      </c>
      <c r="Z151" s="81">
        <f>TRUNC(IF(Y151&gt;0.01,Y151,0),2)</f>
        <v>126.25</v>
      </c>
      <c r="AA151" s="85">
        <f>TRUNC(IF(Y151&lt;0.01,-Y151,0),2)</f>
        <v>0</v>
      </c>
      <c r="AB151" s="85">
        <f t="shared" si="239"/>
        <v>3500</v>
      </c>
      <c r="AC151" s="86"/>
      <c r="AD151" s="73"/>
      <c r="AE151" s="40">
        <v>85</v>
      </c>
      <c r="AG151" s="91"/>
    </row>
    <row r="152" spans="1:33" s="40" customFormat="1" ht="36" customHeight="1">
      <c r="A152" s="199"/>
      <c r="B152" s="188"/>
      <c r="C152" s="188"/>
      <c r="D152" s="64" t="s">
        <v>712</v>
      </c>
      <c r="E152" s="147"/>
      <c r="F152" s="147"/>
      <c r="G152" s="148"/>
      <c r="H152" s="107" t="s">
        <v>326</v>
      </c>
      <c r="I152" s="72">
        <v>15</v>
      </c>
      <c r="J152" s="72" t="s">
        <v>272</v>
      </c>
      <c r="K152" s="72"/>
      <c r="L152" s="73">
        <v>0</v>
      </c>
      <c r="M152" s="74">
        <v>0</v>
      </c>
      <c r="N152" s="80">
        <v>183.15199999999999</v>
      </c>
      <c r="O152" s="81">
        <f t="shared" si="231"/>
        <v>2747.28</v>
      </c>
      <c r="P152" s="82">
        <f t="shared" si="232"/>
        <v>109.89</v>
      </c>
      <c r="Q152" s="81">
        <f t="shared" si="233"/>
        <v>192.3</v>
      </c>
      <c r="R152" s="83">
        <f t="shared" si="234"/>
        <v>0</v>
      </c>
      <c r="S152" s="81">
        <f t="shared" si="235"/>
        <v>302.19</v>
      </c>
      <c r="T152" s="81">
        <f t="shared" si="236"/>
        <v>2747.28</v>
      </c>
      <c r="U152" s="81">
        <f t="shared" si="237"/>
        <v>3049.4700000000003</v>
      </c>
      <c r="V152" s="81"/>
      <c r="W152" s="81"/>
      <c r="X152" s="81">
        <v>0</v>
      </c>
      <c r="Y152" s="84">
        <f t="shared" si="238"/>
        <v>49.470976000000007</v>
      </c>
      <c r="Z152" s="81">
        <f>TRUNC(IF(Y152&gt;0.01,Y152,0),2)</f>
        <v>49.47</v>
      </c>
      <c r="AA152" s="85">
        <f>TRUNC(IF(Y152&lt;0.01,-Y152,0),2)</f>
        <v>0</v>
      </c>
      <c r="AB152" s="85">
        <f t="shared" si="239"/>
        <v>3000.0000000000005</v>
      </c>
      <c r="AC152" s="86"/>
      <c r="AD152" s="73"/>
      <c r="AE152" s="40">
        <v>86</v>
      </c>
      <c r="AG152" s="91"/>
    </row>
    <row r="153" spans="1:33" s="40" customFormat="1" ht="36" customHeight="1">
      <c r="A153" s="199"/>
      <c r="B153" s="188"/>
      <c r="C153" s="188"/>
      <c r="D153" s="64" t="s">
        <v>689</v>
      </c>
      <c r="E153" s="147" t="s">
        <v>176</v>
      </c>
      <c r="F153" s="147" t="s">
        <v>211</v>
      </c>
      <c r="G153" s="148">
        <v>37987</v>
      </c>
      <c r="H153" s="107" t="s">
        <v>687</v>
      </c>
      <c r="I153" s="132">
        <v>15</v>
      </c>
      <c r="J153" s="132" t="s">
        <v>272</v>
      </c>
      <c r="K153" s="132"/>
      <c r="L153" s="138">
        <v>0</v>
      </c>
      <c r="M153" s="139">
        <v>0</v>
      </c>
      <c r="N153" s="80">
        <v>147.9015</v>
      </c>
      <c r="O153" s="83">
        <f t="shared" si="231"/>
        <v>2218.52</v>
      </c>
      <c r="P153" s="141">
        <f t="shared" si="232"/>
        <v>88.74</v>
      </c>
      <c r="Q153" s="83">
        <f t="shared" si="233"/>
        <v>155.29</v>
      </c>
      <c r="R153" s="83">
        <f t="shared" si="234"/>
        <v>0</v>
      </c>
      <c r="S153" s="83">
        <f t="shared" si="235"/>
        <v>244.03</v>
      </c>
      <c r="T153" s="83">
        <f t="shared" si="236"/>
        <v>2218.52</v>
      </c>
      <c r="U153" s="83">
        <f t="shared" si="237"/>
        <v>2462.5500000000002</v>
      </c>
      <c r="V153" s="83"/>
      <c r="W153" s="83"/>
      <c r="X153" s="83"/>
      <c r="Y153" s="84">
        <f t="shared" si="238"/>
        <v>-37.458112000000028</v>
      </c>
      <c r="Z153" s="83">
        <f t="shared" ref="Z153" si="240">TRUNC(IF(Y153&gt;0.01,Y153,0),2)</f>
        <v>0</v>
      </c>
      <c r="AA153" s="142">
        <f t="shared" ref="AA153" si="241">TRUNC(IF(Y153&lt;0.01,-Y153,0),2)</f>
        <v>37.450000000000003</v>
      </c>
      <c r="AB153" s="142">
        <f t="shared" si="239"/>
        <v>2500</v>
      </c>
      <c r="AC153" s="86"/>
      <c r="AD153" s="73"/>
      <c r="AE153" s="40">
        <v>87</v>
      </c>
      <c r="AG153" s="91"/>
    </row>
    <row r="154" spans="1:33" s="40" customFormat="1" ht="36" customHeight="1">
      <c r="A154" s="199"/>
      <c r="B154" s="188"/>
      <c r="C154" s="188"/>
      <c r="D154" s="64" t="s">
        <v>319</v>
      </c>
      <c r="E154" s="65"/>
      <c r="F154" s="65"/>
      <c r="G154" s="66"/>
      <c r="H154" s="107" t="s">
        <v>325</v>
      </c>
      <c r="I154" s="132">
        <v>15</v>
      </c>
      <c r="J154" s="132" t="s">
        <v>272</v>
      </c>
      <c r="K154" s="132"/>
      <c r="L154" s="138">
        <v>0</v>
      </c>
      <c r="M154" s="139">
        <v>0</v>
      </c>
      <c r="N154" s="80">
        <f>2866/15</f>
        <v>191.06666666666666</v>
      </c>
      <c r="O154" s="83">
        <f t="shared" ref="O154:O159" si="242">TRUNC(N154*I154,2)</f>
        <v>2866</v>
      </c>
      <c r="P154" s="141">
        <f t="shared" ref="P154:P159" si="243">TRUNC(N154*I154*0.04,2)</f>
        <v>114.64</v>
      </c>
      <c r="Q154" s="83">
        <f t="shared" ref="Q154:Q159" si="244">TRUNC(N154*0.07*I154,2)</f>
        <v>200.62</v>
      </c>
      <c r="R154" s="83">
        <f t="shared" ref="R154:R159" si="245">L154</f>
        <v>0</v>
      </c>
      <c r="S154" s="83">
        <f t="shared" ref="S154:S159" si="246">TRUNC(Q154+P154+(IF(R154&gt;519,519,R154))+IF(K154=0,0,K154*N154),2)</f>
        <v>315.26</v>
      </c>
      <c r="T154" s="83">
        <f t="shared" ref="T154:T159" si="247">TRUNC((IF(K154=0,I154*N154,(I154-K154)*N154))+(IF(R154&lt;519,0,R154-519)),2)+M154</f>
        <v>2866</v>
      </c>
      <c r="U154" s="83">
        <f t="shared" ref="U154:U159" si="248">S154+T154</f>
        <v>3181.26</v>
      </c>
      <c r="V154" s="83"/>
      <c r="W154" s="83"/>
      <c r="X154" s="83"/>
      <c r="Y154" s="84">
        <f t="shared" ref="Y154:Y155" si="249">IF(N154&gt;0.01,(T154-VLOOKUP(T154,quincenal,1))*VLOOKUP(T154,quincenal,3)+VLOOKUP(T154,quincenal,2)-VLOOKUP(T154,subquincenal,2),0)</f>
        <v>62.387711999999993</v>
      </c>
      <c r="Z154" s="83">
        <f t="shared" ref="Z154:Z159" si="250">TRUNC(IF(Y154&gt;0.01,Y154,0),2)</f>
        <v>62.38</v>
      </c>
      <c r="AA154" s="142">
        <f t="shared" ref="AA154:AA159" si="251">TRUNC(IF(Y154&lt;0.01,-Y154,0),2)</f>
        <v>0</v>
      </c>
      <c r="AB154" s="142">
        <f t="shared" ref="AB154:AB159" si="252">U154-W154-X154-Z154+AA154</f>
        <v>3118.88</v>
      </c>
      <c r="AC154" s="143"/>
      <c r="AD154" s="138"/>
      <c r="AE154" s="40">
        <v>88</v>
      </c>
      <c r="AG154" s="91"/>
    </row>
    <row r="155" spans="1:33" s="40" customFormat="1" ht="36" customHeight="1">
      <c r="A155" s="199"/>
      <c r="B155" s="188"/>
      <c r="C155" s="188"/>
      <c r="D155" s="64" t="s">
        <v>320</v>
      </c>
      <c r="E155" s="65"/>
      <c r="F155" s="65"/>
      <c r="G155" s="66"/>
      <c r="H155" s="107" t="s">
        <v>325</v>
      </c>
      <c r="I155" s="132">
        <v>15</v>
      </c>
      <c r="J155" s="132" t="s">
        <v>272</v>
      </c>
      <c r="K155" s="132"/>
      <c r="L155" s="138">
        <v>0</v>
      </c>
      <c r="M155" s="139">
        <v>0</v>
      </c>
      <c r="N155" s="80">
        <f>2866/15</f>
        <v>191.06666666666666</v>
      </c>
      <c r="O155" s="83">
        <f t="shared" si="242"/>
        <v>2866</v>
      </c>
      <c r="P155" s="141">
        <f t="shared" si="243"/>
        <v>114.64</v>
      </c>
      <c r="Q155" s="83">
        <f t="shared" si="244"/>
        <v>200.62</v>
      </c>
      <c r="R155" s="83">
        <f t="shared" si="245"/>
        <v>0</v>
      </c>
      <c r="S155" s="83">
        <f t="shared" si="246"/>
        <v>315.26</v>
      </c>
      <c r="T155" s="83">
        <f t="shared" si="247"/>
        <v>2866</v>
      </c>
      <c r="U155" s="83">
        <f t="shared" si="248"/>
        <v>3181.26</v>
      </c>
      <c r="V155" s="83"/>
      <c r="W155" s="83"/>
      <c r="X155" s="83"/>
      <c r="Y155" s="84">
        <f t="shared" si="249"/>
        <v>62.387711999999993</v>
      </c>
      <c r="Z155" s="83">
        <f t="shared" si="250"/>
        <v>62.38</v>
      </c>
      <c r="AA155" s="142">
        <f t="shared" si="251"/>
        <v>0</v>
      </c>
      <c r="AB155" s="142">
        <f t="shared" si="252"/>
        <v>3118.88</v>
      </c>
      <c r="AC155" s="143"/>
      <c r="AD155" s="138"/>
      <c r="AE155" s="40">
        <v>89</v>
      </c>
      <c r="AG155" s="91"/>
    </row>
    <row r="156" spans="1:33" s="40" customFormat="1" ht="36" customHeight="1">
      <c r="A156" s="199"/>
      <c r="B156" s="188"/>
      <c r="C156" s="188"/>
      <c r="D156" s="64" t="s">
        <v>321</v>
      </c>
      <c r="E156" s="65"/>
      <c r="F156" s="65"/>
      <c r="G156" s="66"/>
      <c r="H156" s="107" t="s">
        <v>326</v>
      </c>
      <c r="I156" s="132">
        <v>15</v>
      </c>
      <c r="J156" s="132" t="s">
        <v>272</v>
      </c>
      <c r="K156" s="132"/>
      <c r="L156" s="138">
        <v>0</v>
      </c>
      <c r="M156" s="139">
        <v>0</v>
      </c>
      <c r="N156" s="80">
        <f>2222/15</f>
        <v>148.13333333333333</v>
      </c>
      <c r="O156" s="83">
        <f t="shared" si="242"/>
        <v>2222</v>
      </c>
      <c r="P156" s="141">
        <f t="shared" si="243"/>
        <v>88.88</v>
      </c>
      <c r="Q156" s="83">
        <f t="shared" si="244"/>
        <v>155.54</v>
      </c>
      <c r="R156" s="83">
        <f t="shared" si="245"/>
        <v>0</v>
      </c>
      <c r="S156" s="83">
        <f t="shared" si="246"/>
        <v>244.42</v>
      </c>
      <c r="T156" s="83">
        <f t="shared" si="247"/>
        <v>2222</v>
      </c>
      <c r="U156" s="83">
        <f t="shared" si="248"/>
        <v>2466.42</v>
      </c>
      <c r="V156" s="83"/>
      <c r="W156" s="83"/>
      <c r="X156" s="83"/>
      <c r="Y156" s="84">
        <f t="shared" ref="Y156:Y159" si="253">IF(N156&gt;0.01,(T156-VLOOKUP(T156,quincenal,1))*VLOOKUP(T156,quincenal,3)+VLOOKUP(T156,quincenal,2)-VLOOKUP(T156,subquincenal,2),0)</f>
        <v>-37.079488000000026</v>
      </c>
      <c r="Z156" s="83">
        <f t="shared" si="250"/>
        <v>0</v>
      </c>
      <c r="AA156" s="142">
        <f t="shared" si="251"/>
        <v>37.07</v>
      </c>
      <c r="AB156" s="142">
        <f t="shared" si="252"/>
        <v>2503.4900000000002</v>
      </c>
      <c r="AC156" s="143"/>
      <c r="AD156" s="138"/>
      <c r="AE156" s="40">
        <v>90</v>
      </c>
      <c r="AG156" s="91"/>
    </row>
    <row r="157" spans="1:33" s="40" customFormat="1" ht="36" customHeight="1">
      <c r="A157" s="199"/>
      <c r="B157" s="188"/>
      <c r="C157" s="188"/>
      <c r="D157" s="64" t="s">
        <v>322</v>
      </c>
      <c r="E157" s="65"/>
      <c r="F157" s="65"/>
      <c r="G157" s="66"/>
      <c r="H157" s="107" t="s">
        <v>326</v>
      </c>
      <c r="I157" s="132">
        <v>15</v>
      </c>
      <c r="J157" s="132" t="s">
        <v>272</v>
      </c>
      <c r="K157" s="132"/>
      <c r="L157" s="138">
        <v>0</v>
      </c>
      <c r="M157" s="139">
        <v>0</v>
      </c>
      <c r="N157" s="80">
        <f>2222/15</f>
        <v>148.13333333333333</v>
      </c>
      <c r="O157" s="83">
        <f t="shared" si="242"/>
        <v>2222</v>
      </c>
      <c r="P157" s="141">
        <f t="shared" si="243"/>
        <v>88.88</v>
      </c>
      <c r="Q157" s="83">
        <f t="shared" si="244"/>
        <v>155.54</v>
      </c>
      <c r="R157" s="83">
        <f t="shared" si="245"/>
        <v>0</v>
      </c>
      <c r="S157" s="83">
        <f t="shared" si="246"/>
        <v>244.42</v>
      </c>
      <c r="T157" s="83">
        <f t="shared" si="247"/>
        <v>2222</v>
      </c>
      <c r="U157" s="83">
        <f t="shared" si="248"/>
        <v>2466.42</v>
      </c>
      <c r="V157" s="83"/>
      <c r="W157" s="83"/>
      <c r="X157" s="83"/>
      <c r="Y157" s="84">
        <f t="shared" si="253"/>
        <v>-37.079488000000026</v>
      </c>
      <c r="Z157" s="83">
        <f t="shared" si="250"/>
        <v>0</v>
      </c>
      <c r="AA157" s="142">
        <f t="shared" si="251"/>
        <v>37.07</v>
      </c>
      <c r="AB157" s="142">
        <f t="shared" si="252"/>
        <v>2503.4900000000002</v>
      </c>
      <c r="AC157" s="143"/>
      <c r="AD157" s="138"/>
      <c r="AE157" s="40">
        <v>91</v>
      </c>
      <c r="AG157" s="91"/>
    </row>
    <row r="158" spans="1:33" s="40" customFormat="1" ht="36" customHeight="1">
      <c r="A158" s="199"/>
      <c r="B158" s="188"/>
      <c r="C158" s="188"/>
      <c r="D158" s="64" t="s">
        <v>324</v>
      </c>
      <c r="E158" s="65"/>
      <c r="F158" s="65"/>
      <c r="G158" s="66"/>
      <c r="H158" s="107" t="s">
        <v>326</v>
      </c>
      <c r="I158" s="132">
        <v>15</v>
      </c>
      <c r="J158" s="132" t="s">
        <v>272</v>
      </c>
      <c r="K158" s="132"/>
      <c r="L158" s="138">
        <v>0</v>
      </c>
      <c r="M158" s="139">
        <v>0</v>
      </c>
      <c r="N158" s="80">
        <f>2222/15</f>
        <v>148.13333333333333</v>
      </c>
      <c r="O158" s="83">
        <f t="shared" si="242"/>
        <v>2222</v>
      </c>
      <c r="P158" s="141">
        <f t="shared" si="243"/>
        <v>88.88</v>
      </c>
      <c r="Q158" s="83">
        <f t="shared" si="244"/>
        <v>155.54</v>
      </c>
      <c r="R158" s="83">
        <f t="shared" si="245"/>
        <v>0</v>
      </c>
      <c r="S158" s="83">
        <f t="shared" si="246"/>
        <v>244.42</v>
      </c>
      <c r="T158" s="83">
        <f t="shared" si="247"/>
        <v>2222</v>
      </c>
      <c r="U158" s="83">
        <f t="shared" si="248"/>
        <v>2466.42</v>
      </c>
      <c r="V158" s="83"/>
      <c r="W158" s="83"/>
      <c r="X158" s="83"/>
      <c r="Y158" s="84">
        <f t="shared" si="253"/>
        <v>-37.079488000000026</v>
      </c>
      <c r="Z158" s="83">
        <f t="shared" si="250"/>
        <v>0</v>
      </c>
      <c r="AA158" s="142">
        <f t="shared" si="251"/>
        <v>37.07</v>
      </c>
      <c r="AB158" s="142">
        <f t="shared" si="252"/>
        <v>2503.4900000000002</v>
      </c>
      <c r="AC158" s="143"/>
      <c r="AD158" s="138"/>
      <c r="AE158" s="40">
        <v>92</v>
      </c>
      <c r="AG158" s="91"/>
    </row>
    <row r="159" spans="1:33" s="40" customFormat="1" ht="36" customHeight="1">
      <c r="A159" s="199"/>
      <c r="B159" s="188"/>
      <c r="C159" s="188"/>
      <c r="D159" s="64" t="s">
        <v>323</v>
      </c>
      <c r="E159" s="65"/>
      <c r="F159" s="65"/>
      <c r="G159" s="66"/>
      <c r="H159" s="107" t="s">
        <v>326</v>
      </c>
      <c r="I159" s="132">
        <v>15</v>
      </c>
      <c r="J159" s="132" t="s">
        <v>272</v>
      </c>
      <c r="K159" s="132"/>
      <c r="L159" s="138">
        <v>0</v>
      </c>
      <c r="M159" s="139">
        <v>0</v>
      </c>
      <c r="N159" s="80">
        <f>2222/15</f>
        <v>148.13333333333333</v>
      </c>
      <c r="O159" s="83">
        <f t="shared" si="242"/>
        <v>2222</v>
      </c>
      <c r="P159" s="141">
        <f t="shared" si="243"/>
        <v>88.88</v>
      </c>
      <c r="Q159" s="83">
        <f t="shared" si="244"/>
        <v>155.54</v>
      </c>
      <c r="R159" s="83">
        <f t="shared" si="245"/>
        <v>0</v>
      </c>
      <c r="S159" s="83">
        <f t="shared" si="246"/>
        <v>244.42</v>
      </c>
      <c r="T159" s="83">
        <f t="shared" si="247"/>
        <v>2222</v>
      </c>
      <c r="U159" s="83">
        <f t="shared" si="248"/>
        <v>2466.42</v>
      </c>
      <c r="V159" s="83"/>
      <c r="W159" s="83"/>
      <c r="X159" s="83"/>
      <c r="Y159" s="84">
        <f t="shared" si="253"/>
        <v>-37.079488000000026</v>
      </c>
      <c r="Z159" s="83">
        <f t="shared" si="250"/>
        <v>0</v>
      </c>
      <c r="AA159" s="142">
        <f t="shared" si="251"/>
        <v>37.07</v>
      </c>
      <c r="AB159" s="142">
        <f t="shared" si="252"/>
        <v>2503.4900000000002</v>
      </c>
      <c r="AC159" s="143"/>
      <c r="AD159" s="138"/>
      <c r="AE159" s="40">
        <v>93</v>
      </c>
      <c r="AG159" s="91"/>
    </row>
    <row r="160" spans="1:33" s="40" customFormat="1" ht="36" customHeight="1">
      <c r="A160" s="199"/>
      <c r="B160" s="188"/>
      <c r="C160" s="188"/>
      <c r="D160" s="64" t="s">
        <v>702</v>
      </c>
      <c r="E160" s="65"/>
      <c r="F160" s="65"/>
      <c r="G160" s="66"/>
      <c r="H160" s="107" t="s">
        <v>86</v>
      </c>
      <c r="I160" s="72">
        <v>15</v>
      </c>
      <c r="J160" s="72" t="s">
        <v>272</v>
      </c>
      <c r="K160" s="72"/>
      <c r="L160" s="73">
        <v>0</v>
      </c>
      <c r="M160" s="74">
        <v>0</v>
      </c>
      <c r="N160" s="80">
        <v>183.15199999999999</v>
      </c>
      <c r="O160" s="81">
        <f>TRUNC(N160*I160,2)</f>
        <v>2747.28</v>
      </c>
      <c r="P160" s="82">
        <f>TRUNC(N160*I160*0.04,2)</f>
        <v>109.89</v>
      </c>
      <c r="Q160" s="81">
        <f>TRUNC(N160*0.07*I160,2)</f>
        <v>192.3</v>
      </c>
      <c r="R160" s="83">
        <f>L160</f>
        <v>0</v>
      </c>
      <c r="S160" s="81">
        <f>TRUNC(Q160+P160+(IF(R160&gt;519,519,R160))+IF(K160=0,0,K160*N160),2)</f>
        <v>302.19</v>
      </c>
      <c r="T160" s="81">
        <f>TRUNC((IF(K160=0,I160*N160,(I160-K160)*N160))+(IF(R160&lt;519,0,R160-519)),2)+M160</f>
        <v>2747.28</v>
      </c>
      <c r="U160" s="81">
        <f>S160+T160</f>
        <v>3049.4700000000003</v>
      </c>
      <c r="V160" s="81"/>
      <c r="W160" s="81"/>
      <c r="X160" s="81">
        <v>0</v>
      </c>
      <c r="Y160" s="84">
        <f>IF(N160&gt;0.01,(T160-VLOOKUP(T160,quincenal,1))*VLOOKUP(T160,quincenal,3)+VLOOKUP(T160,quincenal,2)-VLOOKUP(T160,subquincenal,2),0)</f>
        <v>49.470976000000007</v>
      </c>
      <c r="Z160" s="81">
        <f>TRUNC(IF(Y160&gt;0.01,Y160,0),2)</f>
        <v>49.47</v>
      </c>
      <c r="AA160" s="85">
        <f>TRUNC(IF(Y160&lt;0.01,-Y160,0),2)</f>
        <v>0</v>
      </c>
      <c r="AB160" s="85">
        <f>U160-W160-X160-Z160+AA160</f>
        <v>3000.0000000000005</v>
      </c>
      <c r="AC160" s="143"/>
      <c r="AD160" s="138"/>
      <c r="AE160" s="40">
        <v>94</v>
      </c>
      <c r="AG160" s="91"/>
    </row>
    <row r="161" spans="1:33" s="40" customFormat="1" ht="36" customHeight="1">
      <c r="A161" s="199"/>
      <c r="B161" s="188"/>
      <c r="C161" s="188"/>
      <c r="D161" s="64" t="s">
        <v>542</v>
      </c>
      <c r="E161" s="65"/>
      <c r="F161" s="65"/>
      <c r="G161" s="66"/>
      <c r="H161" s="107" t="s">
        <v>326</v>
      </c>
      <c r="I161" s="132">
        <v>15</v>
      </c>
      <c r="J161" s="132" t="s">
        <v>272</v>
      </c>
      <c r="K161" s="132"/>
      <c r="L161" s="138">
        <v>0</v>
      </c>
      <c r="M161" s="139">
        <v>0</v>
      </c>
      <c r="N161" s="80">
        <f>1989/15</f>
        <v>132.6</v>
      </c>
      <c r="O161" s="83">
        <f t="shared" ref="O161:O162" si="254">TRUNC(N161*I161,2)</f>
        <v>1989</v>
      </c>
      <c r="P161" s="141">
        <f t="shared" ref="P161:P162" si="255">TRUNC(N161*I161*0.04,2)</f>
        <v>79.56</v>
      </c>
      <c r="Q161" s="83">
        <f t="shared" ref="Q161:Q162" si="256">TRUNC(N161*0.07*I161,2)</f>
        <v>139.22999999999999</v>
      </c>
      <c r="R161" s="83">
        <f>L161</f>
        <v>0</v>
      </c>
      <c r="S161" s="83">
        <f t="shared" ref="S161:S162" si="257">TRUNC(Q161+P161+(IF(R161&gt;519,519,R161))+IF(K161=0,0,K161*N161),2)</f>
        <v>218.79</v>
      </c>
      <c r="T161" s="83">
        <f t="shared" ref="T161:T162" si="258">TRUNC((IF(K161=0,I161*N161,(I161-K161)*N161))+(IF(R161&lt;519,0,R161-519)),2)+M161</f>
        <v>1989</v>
      </c>
      <c r="U161" s="83">
        <f>S161+T161</f>
        <v>2207.79</v>
      </c>
      <c r="V161" s="83"/>
      <c r="W161" s="83"/>
      <c r="X161" s="83"/>
      <c r="Y161" s="84">
        <f>IF(N161&gt;0.01,(T161-VLOOKUP(T161,quincenal,1))*VLOOKUP(T161,quincenal,3)+VLOOKUP(T161,quincenal,2)-VLOOKUP(T161,subquincenal,2),0)</f>
        <v>-72.421839999999975</v>
      </c>
      <c r="Z161" s="83">
        <f>TRUNC(IF(Y161&gt;0.01,Y161,0),2)</f>
        <v>0</v>
      </c>
      <c r="AA161" s="142">
        <f>TRUNC(IF(Y161&lt;0.01,-Y161,0),2)</f>
        <v>72.42</v>
      </c>
      <c r="AB161" s="142">
        <f>U161-W161-X161-Z161+AA161</f>
        <v>2280.21</v>
      </c>
      <c r="AC161" s="143"/>
      <c r="AD161" s="138"/>
      <c r="AE161" s="40">
        <v>95</v>
      </c>
      <c r="AG161" s="91"/>
    </row>
    <row r="162" spans="1:33" s="40" customFormat="1" ht="36" customHeight="1">
      <c r="A162" s="199"/>
      <c r="B162" s="188"/>
      <c r="C162" s="188"/>
      <c r="D162" s="64" t="s">
        <v>383</v>
      </c>
      <c r="E162" s="147" t="s">
        <v>454</v>
      </c>
      <c r="F162" s="147" t="s">
        <v>455</v>
      </c>
      <c r="G162" s="66"/>
      <c r="H162" s="107" t="s">
        <v>523</v>
      </c>
      <c r="I162" s="132">
        <v>15</v>
      </c>
      <c r="J162" s="132" t="s">
        <v>18</v>
      </c>
      <c r="K162" s="132"/>
      <c r="L162" s="138">
        <v>0</v>
      </c>
      <c r="M162" s="139">
        <v>0</v>
      </c>
      <c r="N162" s="80">
        <f>4527/15</f>
        <v>301.8</v>
      </c>
      <c r="O162" s="83">
        <f t="shared" si="254"/>
        <v>4527</v>
      </c>
      <c r="P162" s="141">
        <f t="shared" si="255"/>
        <v>181.08</v>
      </c>
      <c r="Q162" s="83">
        <f t="shared" si="256"/>
        <v>316.89</v>
      </c>
      <c r="R162" s="83">
        <f>L162</f>
        <v>0</v>
      </c>
      <c r="S162" s="83">
        <f t="shared" si="257"/>
        <v>497.97</v>
      </c>
      <c r="T162" s="83">
        <f t="shared" si="258"/>
        <v>4527</v>
      </c>
      <c r="U162" s="83">
        <f>S162+T162</f>
        <v>5024.97</v>
      </c>
      <c r="V162" s="83"/>
      <c r="W162" s="83"/>
      <c r="X162" s="83"/>
      <c r="Y162" s="84">
        <f>IF(N162&gt;0.01,(T162-VLOOKUP(T162,quincenal,1))*VLOOKUP(T162,quincenal,3)+VLOOKUP(T162,quincenal,2)-VLOOKUP(T162,subquincenal,2),0)</f>
        <v>438.74388800000008</v>
      </c>
      <c r="Z162" s="83">
        <f t="shared" ref="Z162" si="259">TRUNC(IF(Y162&gt;0.01,Y162,0),2)</f>
        <v>438.74</v>
      </c>
      <c r="AA162" s="142">
        <f t="shared" ref="AA162" si="260">TRUNC(IF(Y162&lt;0.01,-Y162,0),2)</f>
        <v>0</v>
      </c>
      <c r="AB162" s="142">
        <f>U162-W162-X162-Z162+AA162</f>
        <v>4586.2300000000005</v>
      </c>
      <c r="AC162" s="143"/>
      <c r="AD162" s="138"/>
      <c r="AE162" s="40">
        <v>96</v>
      </c>
      <c r="AG162" s="91"/>
    </row>
    <row r="163" spans="1:33" s="40" customFormat="1" ht="21" customHeight="1">
      <c r="A163" s="105"/>
      <c r="B163" s="180"/>
      <c r="C163" s="180"/>
      <c r="D163" s="95" t="s">
        <v>300</v>
      </c>
      <c r="E163" s="43"/>
      <c r="F163" s="43"/>
      <c r="G163" s="44"/>
      <c r="H163" s="96"/>
      <c r="I163" s="51"/>
      <c r="J163" s="51"/>
      <c r="K163" s="51"/>
      <c r="L163" s="52"/>
      <c r="M163" s="53"/>
      <c r="N163" s="156"/>
      <c r="O163" s="156">
        <f>SUM(O146:O162)</f>
        <v>52310.03</v>
      </c>
      <c r="P163" s="156">
        <f t="shared" ref="P163:AB163" si="261">SUM(P146:P162)</f>
        <v>2092.3700000000008</v>
      </c>
      <c r="Q163" s="156">
        <f t="shared" si="261"/>
        <v>3661.64</v>
      </c>
      <c r="R163" s="156">
        <f t="shared" si="261"/>
        <v>0</v>
      </c>
      <c r="S163" s="156">
        <f t="shared" si="261"/>
        <v>5754.01</v>
      </c>
      <c r="T163" s="156">
        <f t="shared" si="261"/>
        <v>52310.03</v>
      </c>
      <c r="U163" s="156">
        <f t="shared" si="261"/>
        <v>58064.04</v>
      </c>
      <c r="V163" s="156">
        <f t="shared" si="261"/>
        <v>0</v>
      </c>
      <c r="W163" s="156">
        <f t="shared" si="261"/>
        <v>0</v>
      </c>
      <c r="X163" s="156">
        <f t="shared" si="261"/>
        <v>0</v>
      </c>
      <c r="Y163" s="156">
        <f t="shared" si="261"/>
        <v>2134.6277919999998</v>
      </c>
      <c r="Z163" s="156">
        <f t="shared" si="261"/>
        <v>2430.2400000000002</v>
      </c>
      <c r="AA163" s="156">
        <f t="shared" si="261"/>
        <v>295.59999999999997</v>
      </c>
      <c r="AB163" s="156">
        <f t="shared" si="261"/>
        <v>55929.399999999994</v>
      </c>
      <c r="AC163" s="99"/>
      <c r="AD163" s="52"/>
    </row>
    <row r="164" spans="1:33" s="40" customFormat="1" ht="24" customHeight="1">
      <c r="A164" s="105"/>
      <c r="B164" s="180"/>
      <c r="C164" s="180"/>
      <c r="D164" s="95" t="s">
        <v>366</v>
      </c>
      <c r="E164" s="43"/>
      <c r="F164" s="43"/>
      <c r="G164" s="44"/>
      <c r="H164" s="96"/>
      <c r="I164" s="51"/>
      <c r="J164" s="51"/>
      <c r="K164" s="51"/>
      <c r="L164" s="52"/>
      <c r="M164" s="53"/>
      <c r="N164" s="97"/>
      <c r="O164" s="88"/>
      <c r="P164" s="181"/>
      <c r="Q164" s="88"/>
      <c r="R164" s="146"/>
      <c r="S164" s="88"/>
      <c r="T164" s="88"/>
      <c r="U164" s="88"/>
      <c r="V164" s="88"/>
      <c r="W164" s="88"/>
      <c r="X164" s="88"/>
      <c r="Y164" s="91"/>
      <c r="Z164" s="88"/>
      <c r="AA164" s="182"/>
      <c r="AB164" s="182"/>
      <c r="AC164" s="99"/>
      <c r="AD164" s="52"/>
    </row>
    <row r="165" spans="1:33" s="40" customFormat="1" ht="36" customHeight="1">
      <c r="A165" s="105">
        <v>83</v>
      </c>
      <c r="B165" s="71" t="s">
        <v>80</v>
      </c>
      <c r="C165" s="71" t="s">
        <v>16</v>
      </c>
      <c r="D165" s="64" t="s">
        <v>660</v>
      </c>
      <c r="E165" s="65"/>
      <c r="F165" s="65"/>
      <c r="G165" s="66"/>
      <c r="H165" s="103" t="s">
        <v>81</v>
      </c>
      <c r="I165" s="72">
        <v>15</v>
      </c>
      <c r="J165" s="72" t="s">
        <v>272</v>
      </c>
      <c r="K165" s="72"/>
      <c r="L165" s="73">
        <v>0</v>
      </c>
      <c r="M165" s="74">
        <v>0</v>
      </c>
      <c r="N165" s="80">
        <v>479.90589999999997</v>
      </c>
      <c r="O165" s="81">
        <f>TRUNC(N165*I165,2)</f>
        <v>7198.58</v>
      </c>
      <c r="P165" s="82">
        <f>TRUNC(N165*I165*0.04,2)</f>
        <v>287.94</v>
      </c>
      <c r="Q165" s="81">
        <f>TRUNC(N165*0.07*I165,2)</f>
        <v>503.9</v>
      </c>
      <c r="R165" s="83">
        <f>L165</f>
        <v>0</v>
      </c>
      <c r="S165" s="81">
        <f>TRUNC(Q165+P165+(IF(R165&gt;519,519,R165))+IF(K165=0,0,K165*N165),2)</f>
        <v>791.84</v>
      </c>
      <c r="T165" s="81">
        <f>TRUNC((IF(K165=0,I165*N165,(I165-K165)*N165))+(IF(R165&lt;519,0,R165-519)),2)+M165</f>
        <v>7198.58</v>
      </c>
      <c r="U165" s="81">
        <f>S165+T165</f>
        <v>7990.42</v>
      </c>
      <c r="V165" s="81"/>
      <c r="W165" s="81"/>
      <c r="X165" s="81">
        <v>0</v>
      </c>
      <c r="Y165" s="84">
        <f>IF(N165&gt;0.01,(T165-VLOOKUP(T165,quincenal,1))*VLOOKUP(T165,quincenal,3)+VLOOKUP(T165,quincenal,2)-VLOOKUP(T165,subquincenal,2),0)</f>
        <v>990.42751200000009</v>
      </c>
      <c r="Z165" s="81">
        <f>TRUNC(IF(Y165&gt;0.01,Y165,0),2)</f>
        <v>990.42</v>
      </c>
      <c r="AA165" s="85">
        <f>TRUNC(IF(Y165&lt;0.01,-Y165,0),2)</f>
        <v>0</v>
      </c>
      <c r="AB165" s="85">
        <f>U165-W165-X165-Z165+AA165</f>
        <v>7000</v>
      </c>
      <c r="AC165" s="86" t="e">
        <f>#REF!</f>
        <v>#REF!</v>
      </c>
      <c r="AD165" s="73"/>
      <c r="AE165" s="40">
        <v>97</v>
      </c>
      <c r="AG165" s="91"/>
    </row>
    <row r="166" spans="1:33" s="40" customFormat="1" ht="36" customHeight="1">
      <c r="A166" s="105"/>
      <c r="B166" s="71"/>
      <c r="C166" s="71"/>
      <c r="D166" s="64" t="s">
        <v>656</v>
      </c>
      <c r="E166" s="65"/>
      <c r="F166" s="65"/>
      <c r="G166" s="66"/>
      <c r="H166" s="103" t="s">
        <v>655</v>
      </c>
      <c r="I166" s="132">
        <v>15</v>
      </c>
      <c r="J166" s="132" t="s">
        <v>272</v>
      </c>
      <c r="K166" s="132"/>
      <c r="L166" s="138">
        <v>0</v>
      </c>
      <c r="M166" s="139">
        <v>0</v>
      </c>
      <c r="N166" s="80">
        <v>331.43599999999998</v>
      </c>
      <c r="O166" s="83">
        <f t="shared" ref="O166:O170" si="262">TRUNC(N166*I166,2)</f>
        <v>4971.54</v>
      </c>
      <c r="P166" s="141">
        <f t="shared" ref="P166:P170" si="263">TRUNC(N166*I166*0.04,2)</f>
        <v>198.86</v>
      </c>
      <c r="Q166" s="83">
        <f t="shared" ref="Q166:Q170" si="264">TRUNC(N166*0.07*I166,2)</f>
        <v>348</v>
      </c>
      <c r="R166" s="83">
        <f t="shared" ref="R166:R170" si="265">L166</f>
        <v>0</v>
      </c>
      <c r="S166" s="83">
        <f t="shared" ref="S166:S170" si="266">TRUNC(Q166+P166+(IF(R166&gt;519,519,R166))+IF(K166=0,0,K166*N166),2)</f>
        <v>546.86</v>
      </c>
      <c r="T166" s="83">
        <f t="shared" ref="T166:T170" si="267">TRUNC((IF(K166=0,I166*N166,(I166-K166)*N166))+(IF(R166&lt;519,0,R166-519)),2)+M166</f>
        <v>4971.54</v>
      </c>
      <c r="U166" s="83">
        <f t="shared" ref="U166:U170" si="268">S166+T166</f>
        <v>5518.4</v>
      </c>
      <c r="V166" s="83"/>
      <c r="W166" s="83"/>
      <c r="X166" s="83">
        <v>0</v>
      </c>
      <c r="Y166" s="84">
        <f t="shared" ref="Y166" si="269">IF(N166&gt;0.01,(T166-VLOOKUP(T166,quincenal,1))*VLOOKUP(T166,quincenal,3)+VLOOKUP(T166,quincenal,2)-VLOOKUP(T166,subquincenal,2),0)</f>
        <v>518.40545600000007</v>
      </c>
      <c r="Z166" s="83">
        <f t="shared" ref="Z166:Z170" si="270">TRUNC(IF(Y166&gt;0.01,Y166,0),2)</f>
        <v>518.4</v>
      </c>
      <c r="AA166" s="142">
        <f t="shared" ref="AA166:AA170" si="271">TRUNC(IF(Y166&lt;0.01,-Y166,0),2)</f>
        <v>0</v>
      </c>
      <c r="AB166" s="142">
        <f t="shared" ref="AB166:AB170" si="272">U166-W166-X166-Z166+AA166</f>
        <v>5000</v>
      </c>
      <c r="AC166" s="86"/>
      <c r="AD166" s="73"/>
      <c r="AE166" s="40">
        <v>98</v>
      </c>
      <c r="AG166" s="91"/>
    </row>
    <row r="167" spans="1:33" s="40" customFormat="1" ht="36" customHeight="1">
      <c r="A167" s="105"/>
      <c r="B167" s="188"/>
      <c r="C167" s="188"/>
      <c r="D167" s="64" t="s">
        <v>312</v>
      </c>
      <c r="E167" s="147" t="s">
        <v>456</v>
      </c>
      <c r="F167" s="147" t="s">
        <v>457</v>
      </c>
      <c r="G167" s="148">
        <v>39083</v>
      </c>
      <c r="H167" s="103" t="s">
        <v>251</v>
      </c>
      <c r="I167" s="132">
        <v>15</v>
      </c>
      <c r="J167" s="132" t="s">
        <v>272</v>
      </c>
      <c r="K167" s="132"/>
      <c r="L167" s="138">
        <v>0</v>
      </c>
      <c r="M167" s="139">
        <v>0</v>
      </c>
      <c r="N167" s="80">
        <f>3741/15</f>
        <v>249.4</v>
      </c>
      <c r="O167" s="83">
        <f t="shared" si="262"/>
        <v>3741</v>
      </c>
      <c r="P167" s="141">
        <f t="shared" si="263"/>
        <v>149.63999999999999</v>
      </c>
      <c r="Q167" s="83">
        <f t="shared" si="264"/>
        <v>261.87</v>
      </c>
      <c r="R167" s="83">
        <f t="shared" si="265"/>
        <v>0</v>
      </c>
      <c r="S167" s="83">
        <f t="shared" si="266"/>
        <v>411.51</v>
      </c>
      <c r="T167" s="83">
        <f t="shared" si="267"/>
        <v>3741</v>
      </c>
      <c r="U167" s="83">
        <f t="shared" si="268"/>
        <v>4152.51</v>
      </c>
      <c r="V167" s="83"/>
      <c r="W167" s="83"/>
      <c r="X167" s="83">
        <v>0</v>
      </c>
      <c r="Y167" s="84">
        <f t="shared" ref="Y167:Y168" si="273">IF(N167&gt;0.01,(T167-VLOOKUP(T167,quincenal,1))*VLOOKUP(T167,quincenal,3)+VLOOKUP(T167,quincenal,2)-VLOOKUP(T167,subquincenal,2),0)</f>
        <v>307.64839999999998</v>
      </c>
      <c r="Z167" s="83">
        <f t="shared" si="270"/>
        <v>307.64</v>
      </c>
      <c r="AA167" s="142">
        <f t="shared" si="271"/>
        <v>0</v>
      </c>
      <c r="AB167" s="142">
        <f t="shared" si="272"/>
        <v>3844.8700000000003</v>
      </c>
      <c r="AC167" s="143">
        <f>[2]PORTADA!$D$10</f>
        <v>1</v>
      </c>
      <c r="AD167" s="138"/>
      <c r="AE167" s="40">
        <v>99</v>
      </c>
      <c r="AG167" s="91"/>
    </row>
    <row r="168" spans="1:33" s="40" customFormat="1" ht="36" customHeight="1">
      <c r="A168" s="105"/>
      <c r="B168" s="188"/>
      <c r="C168" s="188"/>
      <c r="D168" s="64" t="s">
        <v>261</v>
      </c>
      <c r="E168" s="147" t="s">
        <v>458</v>
      </c>
      <c r="F168" s="147" t="s">
        <v>459</v>
      </c>
      <c r="G168" s="148">
        <v>39512</v>
      </c>
      <c r="H168" s="103" t="s">
        <v>262</v>
      </c>
      <c r="I168" s="132">
        <v>15</v>
      </c>
      <c r="J168" s="132" t="s">
        <v>272</v>
      </c>
      <c r="K168" s="132"/>
      <c r="L168" s="138">
        <v>0</v>
      </c>
      <c r="M168" s="139">
        <v>0</v>
      </c>
      <c r="N168" s="80">
        <f>4385/15</f>
        <v>292.33333333333331</v>
      </c>
      <c r="O168" s="83">
        <f t="shared" si="262"/>
        <v>4385</v>
      </c>
      <c r="P168" s="141">
        <f t="shared" si="263"/>
        <v>175.4</v>
      </c>
      <c r="Q168" s="83">
        <f t="shared" si="264"/>
        <v>306.95</v>
      </c>
      <c r="R168" s="83">
        <f t="shared" si="265"/>
        <v>0</v>
      </c>
      <c r="S168" s="83">
        <f t="shared" si="266"/>
        <v>482.35</v>
      </c>
      <c r="T168" s="83">
        <f t="shared" si="267"/>
        <v>4385</v>
      </c>
      <c r="U168" s="83">
        <f t="shared" si="268"/>
        <v>4867.3500000000004</v>
      </c>
      <c r="V168" s="83"/>
      <c r="W168" s="83"/>
      <c r="X168" s="83">
        <v>0</v>
      </c>
      <c r="Y168" s="84">
        <f t="shared" si="273"/>
        <v>413.29748800000004</v>
      </c>
      <c r="Z168" s="83">
        <f t="shared" si="270"/>
        <v>413.29</v>
      </c>
      <c r="AA168" s="142">
        <f t="shared" si="271"/>
        <v>0</v>
      </c>
      <c r="AB168" s="142">
        <f t="shared" si="272"/>
        <v>4454.0600000000004</v>
      </c>
      <c r="AC168" s="143">
        <f>[2]PORTADA!$D$10</f>
        <v>1</v>
      </c>
      <c r="AD168" s="138"/>
      <c r="AE168" s="40">
        <v>100</v>
      </c>
      <c r="AG168" s="91"/>
    </row>
    <row r="169" spans="1:33" s="40" customFormat="1" ht="36" customHeight="1">
      <c r="A169" s="105"/>
      <c r="B169" s="188"/>
      <c r="C169" s="188"/>
      <c r="D169" s="64" t="s">
        <v>537</v>
      </c>
      <c r="E169" s="147"/>
      <c r="F169" s="147"/>
      <c r="G169" s="148"/>
      <c r="H169" s="103" t="s">
        <v>670</v>
      </c>
      <c r="I169" s="132">
        <v>15</v>
      </c>
      <c r="J169" s="132"/>
      <c r="K169" s="132"/>
      <c r="L169" s="138"/>
      <c r="M169" s="139"/>
      <c r="N169" s="80">
        <f>2411.14/15</f>
        <v>160.74266666666665</v>
      </c>
      <c r="O169" s="83">
        <f t="shared" ref="O169" si="274">TRUNC(N169*I169,2)</f>
        <v>2411.14</v>
      </c>
      <c r="P169" s="141">
        <f t="shared" ref="P169" si="275">TRUNC(N169*I169*0.04,2)</f>
        <v>96.44</v>
      </c>
      <c r="Q169" s="83">
        <f t="shared" ref="Q169" si="276">TRUNC(N169*0.07*I169,2)</f>
        <v>168.77</v>
      </c>
      <c r="R169" s="83">
        <f t="shared" ref="R169" si="277">L169</f>
        <v>0</v>
      </c>
      <c r="S169" s="83">
        <f t="shared" ref="S169" si="278">TRUNC(Q169+P169+(IF(R169&gt;519,519,R169))+IF(K169=0,0,K169*N169),2)</f>
        <v>265.20999999999998</v>
      </c>
      <c r="T169" s="83">
        <f t="shared" ref="T169" si="279">TRUNC((IF(K169=0,I169*N169,(I169-K169)*N169))+(IF(R169&lt;519,0,R169-519)),2)+M169</f>
        <v>2411.14</v>
      </c>
      <c r="U169" s="83">
        <f t="shared" ref="U169" si="280">S169+T169</f>
        <v>2676.35</v>
      </c>
      <c r="V169" s="83"/>
      <c r="W169" s="83"/>
      <c r="X169" s="83">
        <v>0</v>
      </c>
      <c r="Y169" s="84">
        <f t="shared" ref="Y169" si="281">IF(N169&gt;0.01,(T169-VLOOKUP(T169,quincenal,1))*VLOOKUP(T169,quincenal,3)+VLOOKUP(T169,quincenal,2)-VLOOKUP(T169,subquincenal,2),0)</f>
        <v>-2.1010560000000282</v>
      </c>
      <c r="Z169" s="83">
        <f t="shared" ref="Z169" si="282">TRUNC(IF(Y169&gt;0.01,Y169,0),2)</f>
        <v>0</v>
      </c>
      <c r="AA169" s="142">
        <f t="shared" ref="AA169" si="283">TRUNC(IF(Y169&lt;0.01,-Y169,0),2)</f>
        <v>2.1</v>
      </c>
      <c r="AB169" s="142">
        <f t="shared" ref="AB169" si="284">U169-W169-X169-Z169+AA169</f>
        <v>2678.45</v>
      </c>
      <c r="AC169" s="143"/>
      <c r="AD169" s="138"/>
      <c r="AE169" s="40">
        <v>101</v>
      </c>
      <c r="AG169" s="91"/>
    </row>
    <row r="170" spans="1:33" s="40" customFormat="1" ht="36" customHeight="1">
      <c r="A170" s="105"/>
      <c r="B170" s="188"/>
      <c r="C170" s="188"/>
      <c r="D170" s="64" t="s">
        <v>278</v>
      </c>
      <c r="E170" s="150" t="s">
        <v>279</v>
      </c>
      <c r="F170" s="65"/>
      <c r="G170" s="66"/>
      <c r="H170" s="67" t="s">
        <v>83</v>
      </c>
      <c r="I170" s="132">
        <v>15</v>
      </c>
      <c r="J170" s="132" t="s">
        <v>272</v>
      </c>
      <c r="K170" s="132"/>
      <c r="L170" s="138">
        <v>0</v>
      </c>
      <c r="M170" s="139">
        <v>0</v>
      </c>
      <c r="N170" s="200">
        <f>2866/15</f>
        <v>191.06666666666666</v>
      </c>
      <c r="O170" s="83">
        <f t="shared" si="262"/>
        <v>2866</v>
      </c>
      <c r="P170" s="141">
        <f t="shared" si="263"/>
        <v>114.64</v>
      </c>
      <c r="Q170" s="83">
        <f t="shared" si="264"/>
        <v>200.62</v>
      </c>
      <c r="R170" s="83">
        <f t="shared" si="265"/>
        <v>0</v>
      </c>
      <c r="S170" s="83">
        <f t="shared" si="266"/>
        <v>315.26</v>
      </c>
      <c r="T170" s="83">
        <f t="shared" si="267"/>
        <v>2866</v>
      </c>
      <c r="U170" s="83">
        <f t="shared" si="268"/>
        <v>3181.26</v>
      </c>
      <c r="V170" s="83"/>
      <c r="W170" s="83">
        <v>0</v>
      </c>
      <c r="X170" s="83">
        <v>0</v>
      </c>
      <c r="Y170" s="84">
        <f t="shared" ref="Y170" si="285">IF(N170&gt;0.01,(T170-VLOOKUP(T170,quincenal,1))*VLOOKUP(T170,quincenal,3)+VLOOKUP(T170,quincenal,2)-VLOOKUP(T170,subquincenal,2),0)</f>
        <v>62.387711999999993</v>
      </c>
      <c r="Z170" s="83">
        <f t="shared" si="270"/>
        <v>62.38</v>
      </c>
      <c r="AA170" s="142">
        <f t="shared" si="271"/>
        <v>0</v>
      </c>
      <c r="AB170" s="142">
        <f t="shared" si="272"/>
        <v>3118.88</v>
      </c>
      <c r="AC170" s="143">
        <f>[2]PORTADA!$D$10</f>
        <v>1</v>
      </c>
      <c r="AD170" s="138"/>
      <c r="AE170" s="40">
        <v>102</v>
      </c>
      <c r="AG170" s="91"/>
    </row>
    <row r="171" spans="1:33" s="40" customFormat="1" ht="12.75">
      <c r="A171" s="105"/>
      <c r="B171" s="180"/>
      <c r="C171" s="201"/>
      <c r="D171" s="95" t="str">
        <f>D164</f>
        <v>DIRECCION GENERAL  DE OBRAS PUBLICAS</v>
      </c>
      <c r="E171" s="43"/>
      <c r="F171" s="43"/>
      <c r="G171" s="44"/>
      <c r="H171" s="96"/>
      <c r="I171" s="51"/>
      <c r="J171" s="51"/>
      <c r="K171" s="51"/>
      <c r="L171" s="52"/>
      <c r="M171" s="53"/>
      <c r="N171" s="97"/>
      <c r="O171" s="98">
        <f>SUM(O165:O170)</f>
        <v>25573.26</v>
      </c>
      <c r="P171" s="98">
        <f t="shared" ref="P171:AB171" si="286">SUM(P165:P170)</f>
        <v>1022.92</v>
      </c>
      <c r="Q171" s="98">
        <f t="shared" si="286"/>
        <v>1790.1100000000001</v>
      </c>
      <c r="R171" s="98">
        <f t="shared" si="286"/>
        <v>0</v>
      </c>
      <c r="S171" s="98">
        <f t="shared" si="286"/>
        <v>2813.0299999999997</v>
      </c>
      <c r="T171" s="98">
        <f t="shared" si="286"/>
        <v>25573.26</v>
      </c>
      <c r="U171" s="98">
        <f t="shared" si="286"/>
        <v>28386.29</v>
      </c>
      <c r="V171" s="98">
        <f t="shared" si="286"/>
        <v>0</v>
      </c>
      <c r="W171" s="98">
        <f t="shared" si="286"/>
        <v>0</v>
      </c>
      <c r="X171" s="98">
        <f t="shared" si="286"/>
        <v>0</v>
      </c>
      <c r="Y171" s="98">
        <f t="shared" si="286"/>
        <v>2290.0655120000006</v>
      </c>
      <c r="Z171" s="98">
        <f t="shared" si="286"/>
        <v>2292.13</v>
      </c>
      <c r="AA171" s="98">
        <f t="shared" si="286"/>
        <v>2.1</v>
      </c>
      <c r="AB171" s="98">
        <f t="shared" si="286"/>
        <v>26096.260000000002</v>
      </c>
      <c r="AC171" s="99"/>
      <c r="AD171" s="52"/>
    </row>
    <row r="172" spans="1:33" s="40" customFormat="1">
      <c r="A172" s="105"/>
      <c r="B172" s="180"/>
      <c r="C172" s="201"/>
      <c r="D172" s="127"/>
      <c r="E172" s="43"/>
      <c r="F172" s="43"/>
      <c r="G172" s="44"/>
      <c r="H172" s="96"/>
      <c r="I172" s="51"/>
      <c r="J172" s="51"/>
      <c r="K172" s="51"/>
      <c r="L172" s="52"/>
      <c r="M172" s="53"/>
      <c r="N172" s="97"/>
      <c r="O172" s="88"/>
      <c r="P172" s="181"/>
      <c r="Q172" s="88"/>
      <c r="R172" s="146"/>
      <c r="S172" s="88"/>
      <c r="T172" s="88"/>
      <c r="U172" s="88"/>
      <c r="V172" s="88"/>
      <c r="W172" s="88"/>
      <c r="X172" s="88"/>
      <c r="Y172" s="91"/>
      <c r="Z172" s="88"/>
      <c r="AA172" s="182"/>
      <c r="AB172" s="182"/>
      <c r="AC172" s="99"/>
      <c r="AD172" s="52"/>
    </row>
    <row r="173" spans="1:33" s="40" customFormat="1" ht="12.75">
      <c r="A173" s="105"/>
      <c r="B173" s="180"/>
      <c r="C173" s="180"/>
      <c r="D173" s="95" t="s">
        <v>161</v>
      </c>
      <c r="E173" s="43"/>
      <c r="F173" s="43"/>
      <c r="G173" s="44"/>
      <c r="H173" s="96"/>
      <c r="I173" s="51"/>
      <c r="J173" s="51"/>
      <c r="K173" s="51"/>
      <c r="L173" s="52"/>
      <c r="M173" s="53"/>
      <c r="N173" s="97"/>
      <c r="O173" s="88"/>
      <c r="P173" s="181"/>
      <c r="Q173" s="88"/>
      <c r="R173" s="146"/>
      <c r="S173" s="88"/>
      <c r="T173" s="88"/>
      <c r="U173" s="88"/>
      <c r="V173" s="88"/>
      <c r="W173" s="88"/>
      <c r="X173" s="88"/>
      <c r="Y173" s="91"/>
      <c r="Z173" s="88"/>
      <c r="AA173" s="182"/>
      <c r="AB173" s="182"/>
      <c r="AC173" s="99"/>
      <c r="AD173" s="52"/>
    </row>
    <row r="174" spans="1:33" s="40" customFormat="1" ht="36" customHeight="1">
      <c r="A174" s="105"/>
      <c r="B174" s="180"/>
      <c r="C174" s="180"/>
      <c r="D174" s="64" t="s">
        <v>593</v>
      </c>
      <c r="E174" s="147" t="s">
        <v>426</v>
      </c>
      <c r="F174" s="147" t="s">
        <v>427</v>
      </c>
      <c r="G174" s="66"/>
      <c r="H174" s="103" t="s">
        <v>524</v>
      </c>
      <c r="I174" s="72">
        <v>15</v>
      </c>
      <c r="J174" s="72" t="s">
        <v>272</v>
      </c>
      <c r="K174" s="72"/>
      <c r="L174" s="73">
        <v>0</v>
      </c>
      <c r="M174" s="74">
        <v>0</v>
      </c>
      <c r="N174" s="80">
        <v>217.7938</v>
      </c>
      <c r="O174" s="81">
        <f>TRUNC(N174*I174,2)</f>
        <v>3266.9</v>
      </c>
      <c r="P174" s="82">
        <f>TRUNC(N174*I174*0.04,2)</f>
        <v>130.66999999999999</v>
      </c>
      <c r="Q174" s="81">
        <f>TRUNC(N174*0.07*I174,2)</f>
        <v>228.68</v>
      </c>
      <c r="R174" s="83">
        <f>L174</f>
        <v>0</v>
      </c>
      <c r="S174" s="81">
        <f>TRUNC(Q174+P174+(IF(R174&gt;519,519,R174))+IF(K174=0,0,K174*N174),2)</f>
        <v>359.35</v>
      </c>
      <c r="T174" s="81">
        <f>TRUNC((IF(K174=0,I174*N174,(I174-K174)*N174))+(IF(R174&lt;519,0,R174-519)),2)+M174</f>
        <v>3266.9</v>
      </c>
      <c r="U174" s="81">
        <f>S174+T174</f>
        <v>3626.25</v>
      </c>
      <c r="V174" s="81"/>
      <c r="W174" s="81"/>
      <c r="X174" s="81">
        <v>0</v>
      </c>
      <c r="Y174" s="84">
        <f>IF(N174&gt;0.01,(T174-VLOOKUP(T174,quincenal,1))*VLOOKUP(T174,quincenal,3)+VLOOKUP(T174,quincenal,2)-VLOOKUP(T174,subquincenal,2),0)</f>
        <v>126.25563199999996</v>
      </c>
      <c r="Z174" s="81">
        <f>TRUNC(IF(Y174&gt;0.01,Y174,0),2)</f>
        <v>126.25</v>
      </c>
      <c r="AA174" s="85">
        <f>TRUNC(IF(Y174&lt;0.01,-Y174,0),2)</f>
        <v>0</v>
      </c>
      <c r="AB174" s="85">
        <f>U174-W174-X174-Z174+AA174</f>
        <v>3500</v>
      </c>
      <c r="AC174" s="99"/>
      <c r="AD174" s="73"/>
      <c r="AE174" s="40">
        <v>103</v>
      </c>
    </row>
    <row r="175" spans="1:33" s="40" customFormat="1" ht="36" customHeight="1">
      <c r="A175" s="105"/>
      <c r="B175" s="180"/>
      <c r="C175" s="180"/>
      <c r="D175" s="64" t="s">
        <v>628</v>
      </c>
      <c r="E175" s="147" t="s">
        <v>426</v>
      </c>
      <c r="F175" s="147" t="s">
        <v>427</v>
      </c>
      <c r="G175" s="66"/>
      <c r="H175" s="103" t="s">
        <v>629</v>
      </c>
      <c r="I175" s="72">
        <v>15</v>
      </c>
      <c r="J175" s="72" t="s">
        <v>272</v>
      </c>
      <c r="K175" s="72"/>
      <c r="L175" s="73">
        <v>0</v>
      </c>
      <c r="M175" s="74">
        <v>0</v>
      </c>
      <c r="N175" s="80">
        <v>113.977</v>
      </c>
      <c r="O175" s="81">
        <f t="shared" ref="O175" si="287">TRUNC(N175*I175,2)</f>
        <v>1709.65</v>
      </c>
      <c r="P175" s="82">
        <f t="shared" ref="P175" si="288">TRUNC(N175*I175*0.04,2)</f>
        <v>68.38</v>
      </c>
      <c r="Q175" s="81">
        <f t="shared" ref="Q175" si="289">TRUNC(N175*0.07*I175,2)</f>
        <v>119.67</v>
      </c>
      <c r="R175" s="83">
        <f t="shared" ref="R175" si="290">L175</f>
        <v>0</v>
      </c>
      <c r="S175" s="81">
        <f t="shared" ref="S175" si="291">TRUNC(Q175+P175+(IF(R175&gt;519,519,R175))+IF(K175=0,0,K175*N175),2)</f>
        <v>188.05</v>
      </c>
      <c r="T175" s="81">
        <f t="shared" ref="T175" si="292">TRUNC((IF(K175=0,I175*N175,(I175-K175)*N175))+(IF(R175&lt;519,0,R175-519)),2)+M175</f>
        <v>1709.65</v>
      </c>
      <c r="U175" s="81">
        <f t="shared" ref="U175" si="293">S175+T175</f>
        <v>1897.7</v>
      </c>
      <c r="V175" s="81"/>
      <c r="W175" s="81"/>
      <c r="X175" s="81">
        <v>0</v>
      </c>
      <c r="Y175" s="84">
        <f t="shared" ref="Y175" si="294">IF(N175&gt;0.01,(T175-VLOOKUP(T175,quincenal,1))*VLOOKUP(T175,quincenal,3)+VLOOKUP(T175,quincenal,2)-VLOOKUP(T175,subquincenal,2),0)</f>
        <v>-102.30023999999997</v>
      </c>
      <c r="Z175" s="81">
        <v>0</v>
      </c>
      <c r="AA175" s="85">
        <f t="shared" ref="AA175" si="295">TRUNC(IF(Y175&lt;0.01,-Y175,0),2)</f>
        <v>102.3</v>
      </c>
      <c r="AB175" s="85">
        <f t="shared" ref="AB175" si="296">U175-W175-X175-Z175+AA175</f>
        <v>2000</v>
      </c>
      <c r="AC175" s="99"/>
      <c r="AD175" s="73"/>
      <c r="AE175" s="40">
        <v>104</v>
      </c>
    </row>
    <row r="176" spans="1:33" s="40" customFormat="1" ht="36" customHeight="1">
      <c r="A176" s="105"/>
      <c r="B176" s="180"/>
      <c r="C176" s="180"/>
      <c r="D176" s="64" t="s">
        <v>631</v>
      </c>
      <c r="E176" s="147"/>
      <c r="F176" s="147"/>
      <c r="G176" s="66"/>
      <c r="H176" s="103"/>
      <c r="I176" s="72">
        <v>15</v>
      </c>
      <c r="J176" s="72" t="s">
        <v>272</v>
      </c>
      <c r="K176" s="72"/>
      <c r="L176" s="73">
        <v>0</v>
      </c>
      <c r="M176" s="74">
        <v>0</v>
      </c>
      <c r="N176" s="80">
        <v>113.977</v>
      </c>
      <c r="O176" s="81">
        <f t="shared" ref="O176" si="297">TRUNC(N176*I176,2)</f>
        <v>1709.65</v>
      </c>
      <c r="P176" s="82">
        <f t="shared" ref="P176" si="298">TRUNC(N176*I176*0.04,2)</f>
        <v>68.38</v>
      </c>
      <c r="Q176" s="81">
        <f t="shared" ref="Q176" si="299">TRUNC(N176*0.07*I176,2)</f>
        <v>119.67</v>
      </c>
      <c r="R176" s="83">
        <f t="shared" ref="R176" si="300">L176</f>
        <v>0</v>
      </c>
      <c r="S176" s="81">
        <f t="shared" ref="S176" si="301">TRUNC(Q176+P176+(IF(R176&gt;519,519,R176))+IF(K176=0,0,K176*N176),2)</f>
        <v>188.05</v>
      </c>
      <c r="T176" s="81">
        <f t="shared" ref="T176" si="302">TRUNC((IF(K176=0,I176*N176,(I176-K176)*N176))+(IF(R176&lt;519,0,R176-519)),2)+M176</f>
        <v>1709.65</v>
      </c>
      <c r="U176" s="81">
        <f t="shared" ref="U176" si="303">S176+T176</f>
        <v>1897.7</v>
      </c>
      <c r="V176" s="81"/>
      <c r="W176" s="81"/>
      <c r="X176" s="81">
        <v>0</v>
      </c>
      <c r="Y176" s="84">
        <f t="shared" ref="Y176" si="304">IF(N176&gt;0.01,(T176-VLOOKUP(T176,quincenal,1))*VLOOKUP(T176,quincenal,3)+VLOOKUP(T176,quincenal,2)-VLOOKUP(T176,subquincenal,2),0)</f>
        <v>-102.30023999999997</v>
      </c>
      <c r="Z176" s="81">
        <v>0</v>
      </c>
      <c r="AA176" s="85">
        <f t="shared" ref="AA176" si="305">TRUNC(IF(Y176&lt;0.01,-Y176,0),2)</f>
        <v>102.3</v>
      </c>
      <c r="AB176" s="85">
        <f t="shared" ref="AB176" si="306">U176-W176-X176-Z176+AA176</f>
        <v>2000</v>
      </c>
      <c r="AC176" s="99"/>
      <c r="AD176" s="73"/>
      <c r="AE176" s="40">
        <v>105</v>
      </c>
    </row>
    <row r="177" spans="1:33" s="40" customFormat="1" ht="36" customHeight="1">
      <c r="A177" s="105">
        <v>91</v>
      </c>
      <c r="B177" s="71" t="s">
        <v>25</v>
      </c>
      <c r="C177" s="71" t="s">
        <v>21</v>
      </c>
      <c r="D177" s="64" t="s">
        <v>630</v>
      </c>
      <c r="E177" s="147" t="s">
        <v>426</v>
      </c>
      <c r="F177" s="147" t="s">
        <v>427</v>
      </c>
      <c r="G177" s="66"/>
      <c r="H177" s="103" t="s">
        <v>524</v>
      </c>
      <c r="I177" s="72">
        <v>15</v>
      </c>
      <c r="J177" s="72" t="s">
        <v>272</v>
      </c>
      <c r="K177" s="72"/>
      <c r="L177" s="73">
        <v>0</v>
      </c>
      <c r="M177" s="74">
        <v>0</v>
      </c>
      <c r="N177" s="80">
        <v>113.977</v>
      </c>
      <c r="O177" s="81">
        <f t="shared" ref="O177" si="307">TRUNC(N177*I177,2)</f>
        <v>1709.65</v>
      </c>
      <c r="P177" s="82">
        <f t="shared" ref="P177" si="308">TRUNC(N177*I177*0.04,2)</f>
        <v>68.38</v>
      </c>
      <c r="Q177" s="81">
        <f t="shared" ref="Q177" si="309">TRUNC(N177*0.07*I177,2)</f>
        <v>119.67</v>
      </c>
      <c r="R177" s="83">
        <f t="shared" ref="R177" si="310">L177</f>
        <v>0</v>
      </c>
      <c r="S177" s="81">
        <f t="shared" ref="S177" si="311">TRUNC(Q177+P177+(IF(R177&gt;519,519,R177))+IF(K177=0,0,K177*N177),2)</f>
        <v>188.05</v>
      </c>
      <c r="T177" s="81">
        <f t="shared" ref="T177" si="312">TRUNC((IF(K177=0,I177*N177,(I177-K177)*N177))+(IF(R177&lt;519,0,R177-519)),2)+M177</f>
        <v>1709.65</v>
      </c>
      <c r="U177" s="81">
        <f t="shared" ref="U177" si="313">S177+T177</f>
        <v>1897.7</v>
      </c>
      <c r="V177" s="81"/>
      <c r="W177" s="81"/>
      <c r="X177" s="81">
        <v>0</v>
      </c>
      <c r="Y177" s="84">
        <f t="shared" ref="Y177" si="314">IF(N177&gt;0.01,(T177-VLOOKUP(T177,quincenal,1))*VLOOKUP(T177,quincenal,3)+VLOOKUP(T177,quincenal,2)-VLOOKUP(T177,subquincenal,2),0)</f>
        <v>-102.30023999999997</v>
      </c>
      <c r="Z177" s="81">
        <v>0</v>
      </c>
      <c r="AA177" s="85">
        <f t="shared" ref="AA177" si="315">TRUNC(IF(Y177&lt;0.01,-Y177,0),2)</f>
        <v>102.3</v>
      </c>
      <c r="AB177" s="85">
        <f t="shared" ref="AB177" si="316">U177-W177-X177-Z177+AA177</f>
        <v>2000</v>
      </c>
      <c r="AC177" s="86" t="e">
        <f>#REF!</f>
        <v>#REF!</v>
      </c>
      <c r="AD177" s="73"/>
      <c r="AE177" s="40">
        <v>106</v>
      </c>
      <c r="AG177" s="91"/>
    </row>
    <row r="178" spans="1:33" s="40" customFormat="1" ht="12.75">
      <c r="A178" s="105"/>
      <c r="B178" s="180"/>
      <c r="C178" s="180"/>
      <c r="D178" s="95" t="s">
        <v>161</v>
      </c>
      <c r="E178" s="43"/>
      <c r="F178" s="43"/>
      <c r="G178" s="44"/>
      <c r="H178" s="96"/>
      <c r="I178" s="51"/>
      <c r="J178" s="51"/>
      <c r="K178" s="51"/>
      <c r="L178" s="52"/>
      <c r="M178" s="53"/>
      <c r="N178" s="97"/>
      <c r="O178" s="98">
        <f t="shared" ref="O178:AB178" si="317">SUM(O174:O177)</f>
        <v>8395.85</v>
      </c>
      <c r="P178" s="98">
        <f t="shared" si="317"/>
        <v>335.80999999999995</v>
      </c>
      <c r="Q178" s="98">
        <f t="shared" si="317"/>
        <v>587.69000000000005</v>
      </c>
      <c r="R178" s="98">
        <f t="shared" si="317"/>
        <v>0</v>
      </c>
      <c r="S178" s="98">
        <f t="shared" si="317"/>
        <v>923.5</v>
      </c>
      <c r="T178" s="98">
        <f t="shared" si="317"/>
        <v>8395.85</v>
      </c>
      <c r="U178" s="98">
        <f t="shared" si="317"/>
        <v>9319.35</v>
      </c>
      <c r="V178" s="98">
        <f t="shared" si="317"/>
        <v>0</v>
      </c>
      <c r="W178" s="98">
        <f t="shared" si="317"/>
        <v>0</v>
      </c>
      <c r="X178" s="98">
        <f t="shared" si="317"/>
        <v>0</v>
      </c>
      <c r="Y178" s="98">
        <f t="shared" si="317"/>
        <v>-180.64508799999996</v>
      </c>
      <c r="Z178" s="98">
        <f t="shared" si="317"/>
        <v>126.25</v>
      </c>
      <c r="AA178" s="98">
        <f t="shared" si="317"/>
        <v>306.89999999999998</v>
      </c>
      <c r="AB178" s="98">
        <f t="shared" si="317"/>
        <v>9500</v>
      </c>
      <c r="AC178" s="99"/>
      <c r="AD178" s="52"/>
    </row>
    <row r="179" spans="1:33" s="40" customFormat="1">
      <c r="A179" s="105"/>
      <c r="B179" s="180"/>
      <c r="C179" s="180"/>
      <c r="D179" s="127"/>
      <c r="E179" s="43"/>
      <c r="F179" s="43"/>
      <c r="G179" s="44"/>
      <c r="H179" s="96"/>
      <c r="I179" s="51"/>
      <c r="J179" s="51"/>
      <c r="K179" s="51"/>
      <c r="L179" s="52"/>
      <c r="M179" s="53"/>
      <c r="N179" s="97"/>
      <c r="O179" s="88"/>
      <c r="P179" s="181"/>
      <c r="Q179" s="88"/>
      <c r="R179" s="146"/>
      <c r="S179" s="88"/>
      <c r="T179" s="88"/>
      <c r="U179" s="88"/>
      <c r="V179" s="88"/>
      <c r="W179" s="88"/>
      <c r="X179" s="88"/>
      <c r="Y179" s="91"/>
      <c r="Z179" s="88"/>
      <c r="AA179" s="182"/>
      <c r="AB179" s="182"/>
      <c r="AC179" s="99"/>
      <c r="AD179" s="52"/>
    </row>
    <row r="180" spans="1:33" s="40" customFormat="1" ht="12.75">
      <c r="A180" s="105"/>
      <c r="B180" s="180"/>
      <c r="C180" s="180"/>
      <c r="D180" s="95" t="s">
        <v>160</v>
      </c>
      <c r="E180" s="43"/>
      <c r="F180" s="43"/>
      <c r="G180" s="44"/>
      <c r="H180" s="96"/>
      <c r="I180" s="51"/>
      <c r="J180" s="51"/>
      <c r="K180" s="51"/>
      <c r="L180" s="52"/>
      <c r="M180" s="53"/>
      <c r="N180" s="97"/>
      <c r="O180" s="88"/>
      <c r="P180" s="181"/>
      <c r="Q180" s="88"/>
      <c r="R180" s="146"/>
      <c r="S180" s="88"/>
      <c r="T180" s="88"/>
      <c r="U180" s="88"/>
      <c r="V180" s="88"/>
      <c r="W180" s="88"/>
      <c r="X180" s="88"/>
      <c r="Y180" s="91"/>
      <c r="Z180" s="88"/>
      <c r="AA180" s="182"/>
      <c r="AB180" s="182"/>
      <c r="AC180" s="99"/>
      <c r="AD180" s="52"/>
    </row>
    <row r="181" spans="1:33" s="40" customFormat="1" ht="36" customHeight="1">
      <c r="A181" s="105"/>
      <c r="B181" s="180"/>
      <c r="C181" s="180"/>
      <c r="D181" s="125" t="s">
        <v>538</v>
      </c>
      <c r="E181" s="102" t="s">
        <v>486</v>
      </c>
      <c r="F181" s="102" t="s">
        <v>487</v>
      </c>
      <c r="G181" s="66"/>
      <c r="H181" s="67" t="s">
        <v>89</v>
      </c>
      <c r="I181" s="132">
        <v>15</v>
      </c>
      <c r="J181" s="132" t="s">
        <v>272</v>
      </c>
      <c r="K181" s="132"/>
      <c r="L181" s="138">
        <v>0</v>
      </c>
      <c r="M181" s="139">
        <v>0</v>
      </c>
      <c r="N181" s="80">
        <f>2367/15</f>
        <v>157.80000000000001</v>
      </c>
      <c r="O181" s="83">
        <f>TRUNC(N181*I181,2)</f>
        <v>2367</v>
      </c>
      <c r="P181" s="141">
        <f>TRUNC(N181*I181*0.04,2)</f>
        <v>94.68</v>
      </c>
      <c r="Q181" s="83">
        <f>TRUNC(N181*0.07*I181,2)</f>
        <v>165.69</v>
      </c>
      <c r="R181" s="83">
        <f>L181</f>
        <v>0</v>
      </c>
      <c r="S181" s="83">
        <f>TRUNC(Q181+P181+(IF(R181&gt;519,519,R181))+IF(K181=0,0,K181*N181),2)</f>
        <v>260.37</v>
      </c>
      <c r="T181" s="83">
        <f>TRUNC((IF(K181=0,I181*N181,(I181-K181)*N181))+(IF(R181&lt;519,0,R181-519)),2)+M181</f>
        <v>2367</v>
      </c>
      <c r="U181" s="83">
        <f>S181+T181</f>
        <v>2627.37</v>
      </c>
      <c r="V181" s="83"/>
      <c r="W181" s="83"/>
      <c r="X181" s="83">
        <v>0</v>
      </c>
      <c r="Y181" s="84">
        <f>IF(N181&gt;0.01,(T181-VLOOKUP(T181,quincenal,1))*VLOOKUP(T181,quincenal,3)+VLOOKUP(T181,quincenal,2)-VLOOKUP(T181,subquincenal,2),0)</f>
        <v>-6.9034880000000101</v>
      </c>
      <c r="Z181" s="83">
        <f>TRUNC(IF(Y181&gt;0.01,Y181,0),2)</f>
        <v>0</v>
      </c>
      <c r="AA181" s="142">
        <f>TRUNC(IF(Y181&lt;0.01,-Y181,0),2)</f>
        <v>6.9</v>
      </c>
      <c r="AB181" s="142">
        <f>U181-W181-X181-Z181+AA181</f>
        <v>2634.27</v>
      </c>
      <c r="AC181" s="143">
        <f>[2]PORTADA!$D$10</f>
        <v>1</v>
      </c>
      <c r="AD181" s="138"/>
      <c r="AE181" s="40">
        <v>107</v>
      </c>
    </row>
    <row r="182" spans="1:33" s="40" customFormat="1" ht="36" customHeight="1">
      <c r="A182" s="105"/>
      <c r="B182" s="180"/>
      <c r="C182" s="180"/>
      <c r="D182" s="64" t="s">
        <v>664</v>
      </c>
      <c r="E182" s="150" t="s">
        <v>460</v>
      </c>
      <c r="F182" s="65"/>
      <c r="G182" s="66"/>
      <c r="H182" s="67" t="s">
        <v>274</v>
      </c>
      <c r="I182" s="132">
        <v>15</v>
      </c>
      <c r="J182" s="132" t="s">
        <v>272</v>
      </c>
      <c r="K182" s="132"/>
      <c r="L182" s="138">
        <v>0</v>
      </c>
      <c r="M182" s="139">
        <v>0</v>
      </c>
      <c r="N182" s="80">
        <f>3669/15</f>
        <v>244.6</v>
      </c>
      <c r="O182" s="83">
        <f>TRUNC(N182*I182,2)</f>
        <v>3669</v>
      </c>
      <c r="P182" s="141">
        <f>TRUNC(N182*I182*0.04,2)</f>
        <v>146.76</v>
      </c>
      <c r="Q182" s="83">
        <f>TRUNC(N182*0.07*I182,2)</f>
        <v>256.83</v>
      </c>
      <c r="R182" s="83">
        <f>L182</f>
        <v>0</v>
      </c>
      <c r="S182" s="83">
        <f>TRUNC(Q182+P182+(IF(R182&gt;519,519,R182))+IF(K182=0,0,K182*N182),2)</f>
        <v>403.59</v>
      </c>
      <c r="T182" s="83">
        <f>TRUNC((IF(K182=0,I182*N182,(I182-K182)*N182))+(IF(R182&lt;519,0,R182-519)),2)+M182</f>
        <v>3669</v>
      </c>
      <c r="U182" s="83">
        <f>S182+T182</f>
        <v>4072.59</v>
      </c>
      <c r="V182" s="83"/>
      <c r="W182" s="83"/>
      <c r="X182" s="83">
        <v>0</v>
      </c>
      <c r="Y182" s="84">
        <f>IF(N182&gt;0.01,(T182-VLOOKUP(T182,quincenal,1))*VLOOKUP(T182,quincenal,3)+VLOOKUP(T182,quincenal,2)-VLOOKUP(T182,subquincenal,2),0)</f>
        <v>296.12839999999994</v>
      </c>
      <c r="Z182" s="83">
        <f>TRUNC(IF(Y182&gt;0.01,Y182,0),2)</f>
        <v>296.12</v>
      </c>
      <c r="AA182" s="142">
        <f>TRUNC(IF(Y182&lt;0.01,-Y182,0),2)</f>
        <v>0</v>
      </c>
      <c r="AB182" s="142">
        <f>U182-W182-X182-Z182+AA182</f>
        <v>3776.4700000000003</v>
      </c>
      <c r="AC182" s="143">
        <f>[2]PORTADA!$D$10</f>
        <v>1</v>
      </c>
      <c r="AD182" s="138"/>
      <c r="AE182" s="40">
        <v>108</v>
      </c>
    </row>
    <row r="183" spans="1:33" s="40" customFormat="1" ht="36" customHeight="1">
      <c r="A183" s="105"/>
      <c r="B183" s="180"/>
      <c r="C183" s="180"/>
      <c r="D183" s="64" t="s">
        <v>327</v>
      </c>
      <c r="E183" s="150" t="s">
        <v>461</v>
      </c>
      <c r="F183" s="65"/>
      <c r="G183" s="66"/>
      <c r="H183" s="103" t="s">
        <v>328</v>
      </c>
      <c r="I183" s="132">
        <v>15</v>
      </c>
      <c r="J183" s="132" t="s">
        <v>272</v>
      </c>
      <c r="K183" s="132"/>
      <c r="L183" s="138">
        <v>0</v>
      </c>
      <c r="M183" s="139">
        <v>0</v>
      </c>
      <c r="N183" s="80">
        <f>1591/15</f>
        <v>106.06666666666666</v>
      </c>
      <c r="O183" s="83">
        <f>TRUNC(N183*I183,2)</f>
        <v>1591</v>
      </c>
      <c r="P183" s="141">
        <f>TRUNC(N183*I183*0.04,2)</f>
        <v>63.64</v>
      </c>
      <c r="Q183" s="83">
        <f>TRUNC(N183*0.07*I183,2)</f>
        <v>111.37</v>
      </c>
      <c r="R183" s="83">
        <f>L183</f>
        <v>0</v>
      </c>
      <c r="S183" s="83">
        <f>TRUNC(Q183+P183+(IF(R183&gt;519,519,R183))+IF(K183=0,0,K183*N183),2)</f>
        <v>175.01</v>
      </c>
      <c r="T183" s="83">
        <f>TRUNC((IF(K183=0,I183*N183,(I183-K183)*N183))+(IF(R183&lt;519,0,R183-519)),2)+M183</f>
        <v>1591</v>
      </c>
      <c r="U183" s="83">
        <f>S183+T183</f>
        <v>1766.01</v>
      </c>
      <c r="V183" s="83"/>
      <c r="W183" s="83"/>
      <c r="X183" s="83">
        <v>0</v>
      </c>
      <c r="Y183" s="84">
        <f>IF(N183&gt;0.01,(T183-VLOOKUP(T183,quincenal,1))*VLOOKUP(T183,quincenal,3)+VLOOKUP(T183,quincenal,2)-VLOOKUP(T183,subquincenal,2),0)</f>
        <v>-109.89383999999998</v>
      </c>
      <c r="Z183" s="83">
        <f>TRUNC(IF(Y183&gt;0.01,Y183,0),2)</f>
        <v>0</v>
      </c>
      <c r="AA183" s="142">
        <f>TRUNC(IF(Y183&lt;0.01,-Y183,0),2)</f>
        <v>109.89</v>
      </c>
      <c r="AB183" s="142">
        <f>U183-W183-X183-Z183+AA183</f>
        <v>1875.9</v>
      </c>
      <c r="AC183" s="143"/>
      <c r="AD183" s="138"/>
      <c r="AE183" s="40">
        <v>109</v>
      </c>
    </row>
    <row r="184" spans="1:33" s="40" customFormat="1" ht="12.75">
      <c r="A184" s="105"/>
      <c r="B184" s="180"/>
      <c r="C184" s="180"/>
      <c r="D184" s="95" t="s">
        <v>160</v>
      </c>
      <c r="E184" s="43"/>
      <c r="F184" s="43"/>
      <c r="G184" s="44"/>
      <c r="H184" s="96"/>
      <c r="I184" s="51"/>
      <c r="J184" s="51"/>
      <c r="K184" s="51"/>
      <c r="L184" s="52"/>
      <c r="M184" s="53"/>
      <c r="N184" s="97"/>
      <c r="O184" s="90">
        <f>SUM(O181:O183)</f>
        <v>7627</v>
      </c>
      <c r="P184" s="90">
        <f t="shared" ref="P184:AD184" si="318">SUM(P181:P183)</f>
        <v>305.08</v>
      </c>
      <c r="Q184" s="90">
        <f t="shared" si="318"/>
        <v>533.89</v>
      </c>
      <c r="R184" s="90">
        <f t="shared" si="318"/>
        <v>0</v>
      </c>
      <c r="S184" s="90">
        <f t="shared" si="318"/>
        <v>838.97</v>
      </c>
      <c r="T184" s="90">
        <f t="shared" si="318"/>
        <v>7627</v>
      </c>
      <c r="U184" s="90">
        <f t="shared" si="318"/>
        <v>8465.9699999999993</v>
      </c>
      <c r="V184" s="90">
        <f t="shared" si="318"/>
        <v>0</v>
      </c>
      <c r="W184" s="90">
        <f t="shared" si="318"/>
        <v>0</v>
      </c>
      <c r="X184" s="90">
        <f t="shared" si="318"/>
        <v>0</v>
      </c>
      <c r="Y184" s="90">
        <f t="shared" si="318"/>
        <v>179.33107199999992</v>
      </c>
      <c r="Z184" s="90">
        <f t="shared" si="318"/>
        <v>296.12</v>
      </c>
      <c r="AA184" s="90">
        <f t="shared" si="318"/>
        <v>116.79</v>
      </c>
      <c r="AB184" s="90">
        <f t="shared" si="318"/>
        <v>8286.64</v>
      </c>
      <c r="AC184" s="90">
        <f t="shared" si="318"/>
        <v>2</v>
      </c>
      <c r="AD184" s="90">
        <f t="shared" si="318"/>
        <v>0</v>
      </c>
    </row>
    <row r="185" spans="1:33" s="40" customFormat="1" ht="12.75">
      <c r="A185" s="105"/>
      <c r="B185" s="180"/>
      <c r="C185" s="180"/>
      <c r="D185" s="95"/>
      <c r="E185" s="43"/>
      <c r="F185" s="43"/>
      <c r="G185" s="44"/>
      <c r="H185" s="96"/>
      <c r="I185" s="51"/>
      <c r="J185" s="51"/>
      <c r="K185" s="51"/>
      <c r="L185" s="52"/>
      <c r="M185" s="53"/>
      <c r="N185" s="97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</row>
    <row r="186" spans="1:33" s="40" customFormat="1" ht="12.75">
      <c r="A186" s="105"/>
      <c r="B186" s="180"/>
      <c r="C186" s="180"/>
      <c r="D186" s="95" t="s">
        <v>162</v>
      </c>
      <c r="E186" s="43"/>
      <c r="F186" s="43"/>
      <c r="G186" s="44"/>
      <c r="H186" s="96"/>
      <c r="I186" s="51"/>
      <c r="J186" s="51"/>
      <c r="K186" s="51"/>
      <c r="L186" s="52"/>
      <c r="M186" s="53"/>
      <c r="N186" s="97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</row>
    <row r="187" spans="1:33" s="40" customFormat="1" ht="36" customHeight="1">
      <c r="A187" s="105"/>
      <c r="B187" s="180"/>
      <c r="C187" s="180"/>
      <c r="D187" s="64" t="s">
        <v>174</v>
      </c>
      <c r="E187" s="147" t="s">
        <v>186</v>
      </c>
      <c r="F187" s="147" t="s">
        <v>462</v>
      </c>
      <c r="G187" s="148">
        <v>39158</v>
      </c>
      <c r="H187" s="103" t="s">
        <v>525</v>
      </c>
      <c r="I187" s="132">
        <v>15</v>
      </c>
      <c r="J187" s="132" t="s">
        <v>272</v>
      </c>
      <c r="K187" s="132"/>
      <c r="L187" s="138">
        <v>0</v>
      </c>
      <c r="M187" s="139">
        <v>0</v>
      </c>
      <c r="N187" s="80">
        <f>1577/15</f>
        <v>105.13333333333334</v>
      </c>
      <c r="O187" s="83">
        <f>TRUNC(N187*I187,2)</f>
        <v>1577</v>
      </c>
      <c r="P187" s="141">
        <f>TRUNC(N187*I187*0.04,2)</f>
        <v>63.08</v>
      </c>
      <c r="Q187" s="83">
        <f>TRUNC(N187*0.07*I187,2)</f>
        <v>110.39</v>
      </c>
      <c r="R187" s="83">
        <f>L187</f>
        <v>0</v>
      </c>
      <c r="S187" s="83">
        <f>TRUNC(Q187+P187+(IF(R187&gt;519,519,R187))+IF(K187=0,0,K187*N187),2)</f>
        <v>173.47</v>
      </c>
      <c r="T187" s="83">
        <f>TRUNC((IF(K187=0,I187*N187,(I187-K187)*N187))+(IF(R187&lt;519,0,R187-519)),2)+M187</f>
        <v>1577</v>
      </c>
      <c r="U187" s="83">
        <f>S187+T187</f>
        <v>1750.47</v>
      </c>
      <c r="V187" s="83"/>
      <c r="W187" s="83"/>
      <c r="X187" s="83">
        <v>0</v>
      </c>
      <c r="Y187" s="84">
        <f>IF(N187&gt;0.01,(T187-VLOOKUP(T187,quincenal,1))*VLOOKUP(T187,quincenal,3)+VLOOKUP(T187,quincenal,2)-VLOOKUP(T187,subquincenal,2),0)</f>
        <v>-110.78983999999998</v>
      </c>
      <c r="Z187" s="83">
        <f>TRUNC(IF(Y187&gt;0.01,Y187,0),2)</f>
        <v>0</v>
      </c>
      <c r="AA187" s="142">
        <f>TRUNC(IF(Y187&lt;0.01,-Y187,0),2)</f>
        <v>110.78</v>
      </c>
      <c r="AB187" s="142">
        <f>U187-W187-X187-Z187+AA187</f>
        <v>1861.25</v>
      </c>
      <c r="AC187" s="143">
        <f>[2]PORTADA!$D$10</f>
        <v>1</v>
      </c>
      <c r="AD187" s="138"/>
      <c r="AE187" s="40">
        <v>110</v>
      </c>
    </row>
    <row r="188" spans="1:33" s="40" customFormat="1" ht="36" customHeight="1">
      <c r="A188" s="105"/>
      <c r="B188" s="197"/>
      <c r="C188" s="180"/>
      <c r="D188" s="64" t="s">
        <v>93</v>
      </c>
      <c r="E188" s="147" t="s">
        <v>197</v>
      </c>
      <c r="F188" s="147" t="s">
        <v>463</v>
      </c>
      <c r="G188" s="148">
        <v>37987</v>
      </c>
      <c r="H188" s="103" t="s">
        <v>525</v>
      </c>
      <c r="I188" s="132">
        <v>15</v>
      </c>
      <c r="J188" s="132" t="s">
        <v>272</v>
      </c>
      <c r="K188" s="132"/>
      <c r="L188" s="138">
        <v>0</v>
      </c>
      <c r="M188" s="139">
        <v>0</v>
      </c>
      <c r="N188" s="80">
        <f>1577/15</f>
        <v>105.13333333333334</v>
      </c>
      <c r="O188" s="83">
        <f>TRUNC(N188*I188,2)</f>
        <v>1577</v>
      </c>
      <c r="P188" s="141">
        <f>TRUNC(N188*I188*0.04,2)</f>
        <v>63.08</v>
      </c>
      <c r="Q188" s="83">
        <f>TRUNC(N188*0.07*I188,2)</f>
        <v>110.39</v>
      </c>
      <c r="R188" s="83">
        <f>L188</f>
        <v>0</v>
      </c>
      <c r="S188" s="83">
        <f>TRUNC(Q188+P188+(IF(R188&gt;519,519,R188))+IF(K188=0,0,K188*N188),2)</f>
        <v>173.47</v>
      </c>
      <c r="T188" s="83">
        <f>TRUNC((IF(K188=0,I188*N188,(I188-K188)*N188))+(IF(R188&lt;519,0,R188-519)),2)+M188</f>
        <v>1577</v>
      </c>
      <c r="U188" s="83">
        <f>S188+T188</f>
        <v>1750.47</v>
      </c>
      <c r="V188" s="83"/>
      <c r="W188" s="83"/>
      <c r="X188" s="83">
        <v>0</v>
      </c>
      <c r="Y188" s="84">
        <f>IF(N188&gt;0.01,(T188-VLOOKUP(T188,quincenal,1))*VLOOKUP(T188,quincenal,3)+VLOOKUP(T188,quincenal,2)-VLOOKUP(T188,subquincenal,2),0)</f>
        <v>-110.78983999999998</v>
      </c>
      <c r="Z188" s="83">
        <f>TRUNC(IF(Y188&gt;0.01,Y188,0),2)</f>
        <v>0</v>
      </c>
      <c r="AA188" s="142">
        <f>TRUNC(IF(Y188&lt;0.01,-Y188,0),2)</f>
        <v>110.78</v>
      </c>
      <c r="AB188" s="142">
        <f>U188-W188-X188-Z188+AA188</f>
        <v>1861.25</v>
      </c>
      <c r="AC188" s="143">
        <f>[2]PORTADA!$D$10</f>
        <v>1</v>
      </c>
      <c r="AD188" s="138"/>
      <c r="AE188" s="40">
        <v>111</v>
      </c>
    </row>
    <row r="189" spans="1:33" s="40" customFormat="1" ht="12.75">
      <c r="A189" s="105"/>
      <c r="B189" s="197"/>
      <c r="C189" s="180"/>
      <c r="D189" s="95" t="s">
        <v>162</v>
      </c>
      <c r="E189" s="202"/>
      <c r="F189" s="202"/>
      <c r="G189" s="203"/>
      <c r="H189" s="204"/>
      <c r="I189" s="205"/>
      <c r="J189" s="205"/>
      <c r="K189" s="205"/>
      <c r="L189" s="206"/>
      <c r="M189" s="207"/>
      <c r="N189" s="208"/>
      <c r="O189" s="209">
        <f>SUM(O187:O188)</f>
        <v>3154</v>
      </c>
      <c r="P189" s="209">
        <f t="shared" ref="P189:AB189" si="319">SUM(P187:P188)</f>
        <v>126.16</v>
      </c>
      <c r="Q189" s="209">
        <f t="shared" si="319"/>
        <v>220.78</v>
      </c>
      <c r="R189" s="209">
        <f t="shared" si="319"/>
        <v>0</v>
      </c>
      <c r="S189" s="209">
        <f t="shared" si="319"/>
        <v>346.94</v>
      </c>
      <c r="T189" s="209">
        <f t="shared" si="319"/>
        <v>3154</v>
      </c>
      <c r="U189" s="209">
        <f t="shared" si="319"/>
        <v>3500.94</v>
      </c>
      <c r="V189" s="209">
        <f t="shared" si="319"/>
        <v>0</v>
      </c>
      <c r="W189" s="209">
        <f t="shared" si="319"/>
        <v>0</v>
      </c>
      <c r="X189" s="209">
        <f t="shared" si="319"/>
        <v>0</v>
      </c>
      <c r="Y189" s="209">
        <f t="shared" si="319"/>
        <v>-221.57967999999997</v>
      </c>
      <c r="Z189" s="209">
        <f t="shared" si="319"/>
        <v>0</v>
      </c>
      <c r="AA189" s="209">
        <f t="shared" si="319"/>
        <v>221.56</v>
      </c>
      <c r="AB189" s="209">
        <f t="shared" si="319"/>
        <v>3722.5</v>
      </c>
      <c r="AC189" s="210"/>
      <c r="AD189" s="206"/>
    </row>
    <row r="190" spans="1:33" s="40" customFormat="1">
      <c r="A190" s="105"/>
      <c r="B190" s="197"/>
      <c r="C190" s="180"/>
      <c r="D190" s="144"/>
      <c r="E190" s="202"/>
      <c r="F190" s="202"/>
      <c r="G190" s="203"/>
      <c r="H190" s="204"/>
      <c r="I190" s="205"/>
      <c r="J190" s="205"/>
      <c r="K190" s="205"/>
      <c r="L190" s="206"/>
      <c r="M190" s="207"/>
      <c r="N190" s="208"/>
      <c r="O190" s="140"/>
      <c r="P190" s="211"/>
      <c r="Q190" s="140"/>
      <c r="R190" s="140"/>
      <c r="S190" s="140"/>
      <c r="T190" s="140"/>
      <c r="U190" s="140"/>
      <c r="V190" s="140"/>
      <c r="W190" s="140"/>
      <c r="X190" s="140"/>
      <c r="Y190" s="212"/>
      <c r="Z190" s="140"/>
      <c r="AA190" s="213"/>
      <c r="AB190" s="213"/>
      <c r="AC190" s="210"/>
      <c r="AD190" s="206"/>
    </row>
    <row r="191" spans="1:33" s="40" customFormat="1" ht="12.75">
      <c r="A191" s="105"/>
      <c r="B191" s="197"/>
      <c r="C191" s="180"/>
      <c r="D191" s="95" t="s">
        <v>301</v>
      </c>
      <c r="E191" s="43"/>
      <c r="F191" s="43"/>
      <c r="G191" s="44"/>
      <c r="H191" s="96"/>
      <c r="I191" s="51"/>
      <c r="J191" s="51"/>
      <c r="K191" s="51"/>
      <c r="L191" s="52"/>
      <c r="M191" s="53"/>
      <c r="N191" s="97"/>
      <c r="O191" s="88"/>
      <c r="P191" s="181"/>
      <c r="Q191" s="88"/>
      <c r="R191" s="146"/>
      <c r="S191" s="88"/>
      <c r="T191" s="88"/>
      <c r="U191" s="88"/>
      <c r="V191" s="88"/>
      <c r="W191" s="88"/>
      <c r="X191" s="88"/>
      <c r="Y191" s="91"/>
      <c r="Z191" s="88"/>
      <c r="AA191" s="182"/>
      <c r="AB191" s="182"/>
      <c r="AC191" s="99"/>
      <c r="AD191" s="52"/>
    </row>
    <row r="192" spans="1:33" s="40" customFormat="1" ht="36" customHeight="1">
      <c r="A192" s="105">
        <v>97</v>
      </c>
      <c r="B192" s="71" t="s">
        <v>25</v>
      </c>
      <c r="C192" s="71" t="s">
        <v>31</v>
      </c>
      <c r="D192" s="64" t="s">
        <v>634</v>
      </c>
      <c r="E192" s="147" t="s">
        <v>194</v>
      </c>
      <c r="F192" s="147" t="s">
        <v>228</v>
      </c>
      <c r="G192" s="148">
        <v>39114</v>
      </c>
      <c r="H192" s="103" t="s">
        <v>635</v>
      </c>
      <c r="I192" s="72">
        <v>15</v>
      </c>
      <c r="J192" s="72" t="s">
        <v>272</v>
      </c>
      <c r="K192" s="72"/>
      <c r="L192" s="73">
        <v>0</v>
      </c>
      <c r="M192" s="74">
        <v>0</v>
      </c>
      <c r="N192" s="80">
        <v>196.46899999999999</v>
      </c>
      <c r="O192" s="81">
        <f t="shared" ref="O192:O201" si="320">TRUNC(N192*I192,2)</f>
        <v>2947.03</v>
      </c>
      <c r="P192" s="82">
        <f t="shared" ref="P192:P201" si="321">TRUNC(N192*I192*0.04,2)</f>
        <v>117.88</v>
      </c>
      <c r="Q192" s="81">
        <f t="shared" ref="Q192:Q201" si="322">TRUNC(N192*0.07*I192,2)</f>
        <v>206.29</v>
      </c>
      <c r="R192" s="83">
        <f t="shared" ref="R192:R201" si="323">L192</f>
        <v>0</v>
      </c>
      <c r="S192" s="81">
        <f t="shared" ref="S192:S201" si="324">TRUNC(Q192+P192+(IF(R192&gt;519,519,R192))+IF(K192=0,0,K192*N192),2)</f>
        <v>324.17</v>
      </c>
      <c r="T192" s="81">
        <f t="shared" ref="T192:T201" si="325">TRUNC((IF(K192=0,I192*N192,(I192-K192)*N192))+(IF(R192&lt;519,0,R192-519)),2)+M192</f>
        <v>2947.03</v>
      </c>
      <c r="U192" s="81">
        <f t="shared" ref="U192:U201" si="326">S192+T192</f>
        <v>3271.2000000000003</v>
      </c>
      <c r="V192" s="81"/>
      <c r="W192" s="81"/>
      <c r="X192" s="81">
        <v>0</v>
      </c>
      <c r="Y192" s="84">
        <f t="shared" ref="Y192" si="327">IF(N192&gt;0.01,(T192-VLOOKUP(T192,quincenal,1))*VLOOKUP(T192,quincenal,3)+VLOOKUP(T192,quincenal,2)-VLOOKUP(T192,subquincenal,2),0)</f>
        <v>71.203776000000005</v>
      </c>
      <c r="Z192" s="81">
        <f t="shared" ref="Z192:Z201" si="328">TRUNC(IF(Y192&gt;0.01,Y192,0),2)</f>
        <v>71.2</v>
      </c>
      <c r="AA192" s="85">
        <f t="shared" ref="AA192:AA201" si="329">TRUNC(IF(Y192&lt;0.01,-Y192,0),2)</f>
        <v>0</v>
      </c>
      <c r="AB192" s="85">
        <f t="shared" ref="AB192:AB201" si="330">U192-W192-X192-Z192+AA192</f>
        <v>3200.0000000000005</v>
      </c>
      <c r="AC192" s="86" t="e">
        <f>#REF!</f>
        <v>#REF!</v>
      </c>
      <c r="AD192" s="73"/>
      <c r="AE192" s="40">
        <v>112</v>
      </c>
      <c r="AG192" s="91"/>
    </row>
    <row r="193" spans="1:33" s="40" customFormat="1" ht="36" customHeight="1">
      <c r="A193" s="105"/>
      <c r="B193" s="188"/>
      <c r="C193" s="188"/>
      <c r="D193" s="64" t="s">
        <v>94</v>
      </c>
      <c r="E193" s="147" t="s">
        <v>194</v>
      </c>
      <c r="F193" s="147" t="s">
        <v>228</v>
      </c>
      <c r="G193" s="148">
        <v>39114</v>
      </c>
      <c r="H193" s="103" t="s">
        <v>526</v>
      </c>
      <c r="I193" s="132">
        <v>15</v>
      </c>
      <c r="J193" s="132" t="s">
        <v>272</v>
      </c>
      <c r="K193" s="132"/>
      <c r="L193" s="138">
        <v>0</v>
      </c>
      <c r="M193" s="139">
        <v>0</v>
      </c>
      <c r="N193" s="80">
        <f>2222/15</f>
        <v>148.13333333333333</v>
      </c>
      <c r="O193" s="83">
        <f t="shared" si="320"/>
        <v>2222</v>
      </c>
      <c r="P193" s="141">
        <f t="shared" si="321"/>
        <v>88.88</v>
      </c>
      <c r="Q193" s="83">
        <f t="shared" si="322"/>
        <v>155.54</v>
      </c>
      <c r="R193" s="83">
        <f t="shared" si="323"/>
        <v>0</v>
      </c>
      <c r="S193" s="83">
        <f t="shared" si="324"/>
        <v>244.42</v>
      </c>
      <c r="T193" s="83">
        <f t="shared" si="325"/>
        <v>2222</v>
      </c>
      <c r="U193" s="83">
        <f t="shared" si="326"/>
        <v>2466.42</v>
      </c>
      <c r="V193" s="83"/>
      <c r="W193" s="83"/>
      <c r="X193" s="83">
        <v>0</v>
      </c>
      <c r="Y193" s="84">
        <f t="shared" ref="Y193:Y201" si="331">IF(N193&gt;0.01,(T193-VLOOKUP(T193,quincenal,1))*VLOOKUP(T193,quincenal,3)+VLOOKUP(T193,quincenal,2)-VLOOKUP(T193,subquincenal,2),0)</f>
        <v>-37.079488000000026</v>
      </c>
      <c r="Z193" s="83">
        <f t="shared" si="328"/>
        <v>0</v>
      </c>
      <c r="AA193" s="142">
        <f t="shared" si="329"/>
        <v>37.07</v>
      </c>
      <c r="AB193" s="142">
        <f t="shared" si="330"/>
        <v>2503.4900000000002</v>
      </c>
      <c r="AC193" s="143">
        <f>[2]PORTADA!$D$10</f>
        <v>1</v>
      </c>
      <c r="AD193" s="138"/>
      <c r="AE193" s="40">
        <v>113</v>
      </c>
      <c r="AG193" s="91"/>
    </row>
    <row r="194" spans="1:33" s="40" customFormat="1" ht="36" customHeight="1">
      <c r="A194" s="105"/>
      <c r="B194" s="188"/>
      <c r="C194" s="188"/>
      <c r="D194" s="64" t="s">
        <v>96</v>
      </c>
      <c r="E194" s="147" t="s">
        <v>187</v>
      </c>
      <c r="F194" s="147" t="s">
        <v>219</v>
      </c>
      <c r="G194" s="148">
        <v>37987</v>
      </c>
      <c r="H194" s="103" t="s">
        <v>526</v>
      </c>
      <c r="I194" s="132">
        <v>15</v>
      </c>
      <c r="J194" s="132" t="s">
        <v>272</v>
      </c>
      <c r="K194" s="132"/>
      <c r="L194" s="138">
        <v>0</v>
      </c>
      <c r="M194" s="139">
        <v>0</v>
      </c>
      <c r="N194" s="80">
        <f t="shared" ref="N194:N196" si="332">2222/15</f>
        <v>148.13333333333333</v>
      </c>
      <c r="O194" s="83">
        <f t="shared" si="320"/>
        <v>2222</v>
      </c>
      <c r="P194" s="141">
        <f t="shared" si="321"/>
        <v>88.88</v>
      </c>
      <c r="Q194" s="83">
        <f t="shared" si="322"/>
        <v>155.54</v>
      </c>
      <c r="R194" s="83">
        <f t="shared" si="323"/>
        <v>0</v>
      </c>
      <c r="S194" s="83">
        <f t="shared" si="324"/>
        <v>244.42</v>
      </c>
      <c r="T194" s="83">
        <f t="shared" si="325"/>
        <v>2222</v>
      </c>
      <c r="U194" s="83">
        <f t="shared" si="326"/>
        <v>2466.42</v>
      </c>
      <c r="V194" s="83"/>
      <c r="W194" s="83"/>
      <c r="X194" s="83">
        <v>0</v>
      </c>
      <c r="Y194" s="84">
        <f t="shared" si="331"/>
        <v>-37.079488000000026</v>
      </c>
      <c r="Z194" s="83">
        <f t="shared" si="328"/>
        <v>0</v>
      </c>
      <c r="AA194" s="142">
        <f t="shared" si="329"/>
        <v>37.07</v>
      </c>
      <c r="AB194" s="142">
        <f t="shared" si="330"/>
        <v>2503.4900000000002</v>
      </c>
      <c r="AC194" s="143">
        <f>[2]PORTADA!$D$10</f>
        <v>1</v>
      </c>
      <c r="AD194" s="138"/>
      <c r="AE194" s="40">
        <v>114</v>
      </c>
      <c r="AG194" s="91"/>
    </row>
    <row r="195" spans="1:33" s="40" customFormat="1" ht="36" customHeight="1">
      <c r="A195" s="105"/>
      <c r="B195" s="188"/>
      <c r="C195" s="188"/>
      <c r="D195" s="64" t="s">
        <v>215</v>
      </c>
      <c r="E195" s="147" t="s">
        <v>180</v>
      </c>
      <c r="F195" s="147" t="s">
        <v>216</v>
      </c>
      <c r="G195" s="148">
        <v>37622</v>
      </c>
      <c r="H195" s="103" t="s">
        <v>526</v>
      </c>
      <c r="I195" s="132">
        <v>15</v>
      </c>
      <c r="J195" s="132" t="s">
        <v>272</v>
      </c>
      <c r="K195" s="132"/>
      <c r="L195" s="138">
        <v>0</v>
      </c>
      <c r="M195" s="139">
        <v>0</v>
      </c>
      <c r="N195" s="80">
        <f t="shared" si="332"/>
        <v>148.13333333333333</v>
      </c>
      <c r="O195" s="83">
        <f t="shared" si="320"/>
        <v>2222</v>
      </c>
      <c r="P195" s="141">
        <f t="shared" si="321"/>
        <v>88.88</v>
      </c>
      <c r="Q195" s="83">
        <f t="shared" si="322"/>
        <v>155.54</v>
      </c>
      <c r="R195" s="83">
        <f t="shared" si="323"/>
        <v>0</v>
      </c>
      <c r="S195" s="83">
        <f t="shared" si="324"/>
        <v>244.42</v>
      </c>
      <c r="T195" s="83">
        <f t="shared" si="325"/>
        <v>2222</v>
      </c>
      <c r="U195" s="83">
        <f t="shared" si="326"/>
        <v>2466.42</v>
      </c>
      <c r="V195" s="83"/>
      <c r="W195" s="83"/>
      <c r="X195" s="83">
        <v>0</v>
      </c>
      <c r="Y195" s="84">
        <f t="shared" si="331"/>
        <v>-37.079488000000026</v>
      </c>
      <c r="Z195" s="83">
        <f t="shared" si="328"/>
        <v>0</v>
      </c>
      <c r="AA195" s="142">
        <f t="shared" si="329"/>
        <v>37.07</v>
      </c>
      <c r="AB195" s="142">
        <f t="shared" si="330"/>
        <v>2503.4900000000002</v>
      </c>
      <c r="AC195" s="143">
        <f>[2]PORTADA!$D$10</f>
        <v>1</v>
      </c>
      <c r="AD195" s="138"/>
      <c r="AE195" s="40">
        <v>115</v>
      </c>
      <c r="AG195" s="91"/>
    </row>
    <row r="196" spans="1:33" s="40" customFormat="1" ht="36" customHeight="1">
      <c r="A196" s="105"/>
      <c r="B196" s="188"/>
      <c r="C196" s="188"/>
      <c r="D196" s="64" t="s">
        <v>329</v>
      </c>
      <c r="E196" s="65"/>
      <c r="F196" s="65"/>
      <c r="G196" s="66"/>
      <c r="H196" s="103" t="s">
        <v>526</v>
      </c>
      <c r="I196" s="132">
        <v>15</v>
      </c>
      <c r="J196" s="132" t="s">
        <v>272</v>
      </c>
      <c r="K196" s="132"/>
      <c r="L196" s="138">
        <v>0</v>
      </c>
      <c r="M196" s="139">
        <v>0</v>
      </c>
      <c r="N196" s="80">
        <f t="shared" si="332"/>
        <v>148.13333333333333</v>
      </c>
      <c r="O196" s="83">
        <f t="shared" si="320"/>
        <v>2222</v>
      </c>
      <c r="P196" s="141">
        <f t="shared" si="321"/>
        <v>88.88</v>
      </c>
      <c r="Q196" s="83">
        <f t="shared" si="322"/>
        <v>155.54</v>
      </c>
      <c r="R196" s="83">
        <f>L196</f>
        <v>0</v>
      </c>
      <c r="S196" s="83">
        <f t="shared" si="324"/>
        <v>244.42</v>
      </c>
      <c r="T196" s="83">
        <f t="shared" si="325"/>
        <v>2222</v>
      </c>
      <c r="U196" s="83">
        <f>S196+T196</f>
        <v>2466.42</v>
      </c>
      <c r="V196" s="83"/>
      <c r="W196" s="83">
        <v>0</v>
      </c>
      <c r="X196" s="83">
        <v>0</v>
      </c>
      <c r="Y196" s="84">
        <f>IF(N196&gt;0.01,(T196-VLOOKUP(T196,quincenal,1))*VLOOKUP(T196,quincenal,3)+VLOOKUP(T196,quincenal,2)-VLOOKUP(T196,subquincenal,2),0)</f>
        <v>-37.079488000000026</v>
      </c>
      <c r="Z196" s="83">
        <f t="shared" si="328"/>
        <v>0</v>
      </c>
      <c r="AA196" s="142">
        <f>TRUNC(IF(Y196&lt;0.01,-Y196,0),2)</f>
        <v>37.07</v>
      </c>
      <c r="AB196" s="142">
        <f>U196-W196-X196-Z196+AA196</f>
        <v>2503.4900000000002</v>
      </c>
      <c r="AC196" s="143"/>
      <c r="AD196" s="138"/>
      <c r="AE196" s="40">
        <v>116</v>
      </c>
      <c r="AG196" s="91"/>
    </row>
    <row r="197" spans="1:33" s="40" customFormat="1" ht="36" customHeight="1">
      <c r="A197" s="105"/>
      <c r="B197" s="188"/>
      <c r="C197" s="188"/>
      <c r="D197" s="64" t="s">
        <v>97</v>
      </c>
      <c r="E197" s="147" t="s">
        <v>201</v>
      </c>
      <c r="F197" s="147" t="s">
        <v>234</v>
      </c>
      <c r="G197" s="148">
        <v>37987</v>
      </c>
      <c r="H197" s="103" t="s">
        <v>527</v>
      </c>
      <c r="I197" s="132">
        <v>15</v>
      </c>
      <c r="J197" s="132" t="s">
        <v>272</v>
      </c>
      <c r="K197" s="132"/>
      <c r="L197" s="138">
        <v>0</v>
      </c>
      <c r="M197" s="139">
        <v>0</v>
      </c>
      <c r="N197" s="80">
        <f>2659/15</f>
        <v>177.26666666666668</v>
      </c>
      <c r="O197" s="83">
        <f t="shared" si="320"/>
        <v>2659</v>
      </c>
      <c r="P197" s="141">
        <f t="shared" si="321"/>
        <v>106.36</v>
      </c>
      <c r="Q197" s="83">
        <f t="shared" si="322"/>
        <v>186.13</v>
      </c>
      <c r="R197" s="83">
        <f>L197</f>
        <v>0</v>
      </c>
      <c r="S197" s="83">
        <f t="shared" si="324"/>
        <v>292.49</v>
      </c>
      <c r="T197" s="83">
        <f t="shared" si="325"/>
        <v>2659</v>
      </c>
      <c r="U197" s="83">
        <f>S197+T197</f>
        <v>2951.49</v>
      </c>
      <c r="V197" s="83"/>
      <c r="W197" s="83"/>
      <c r="X197" s="83">
        <v>0</v>
      </c>
      <c r="Y197" s="84">
        <f>IF(N197&gt;0.01,(T197-VLOOKUP(T197,quincenal,1))*VLOOKUP(T197,quincenal,3)+VLOOKUP(T197,quincenal,2)-VLOOKUP(T197,subquincenal,2),0)</f>
        <v>39.866111999999987</v>
      </c>
      <c r="Z197" s="83">
        <f t="shared" si="328"/>
        <v>39.86</v>
      </c>
      <c r="AA197" s="142">
        <f>TRUNC(IF(Y197&lt;0.01,-Y197,0),2)</f>
        <v>0</v>
      </c>
      <c r="AB197" s="142">
        <f>U197-W197-X197-Z197+AA197</f>
        <v>2911.6299999999997</v>
      </c>
      <c r="AC197" s="143">
        <f>[2]PORTADA!$D$10</f>
        <v>1</v>
      </c>
      <c r="AD197" s="138"/>
      <c r="AE197" s="40">
        <v>117</v>
      </c>
      <c r="AG197" s="91"/>
    </row>
    <row r="198" spans="1:33" s="40" customFormat="1" ht="36" customHeight="1">
      <c r="A198" s="105"/>
      <c r="B198" s="188"/>
      <c r="C198" s="188"/>
      <c r="D198" s="64" t="s">
        <v>535</v>
      </c>
      <c r="E198" s="147" t="s">
        <v>199</v>
      </c>
      <c r="F198" s="147" t="s">
        <v>232</v>
      </c>
      <c r="G198" s="148">
        <v>37987</v>
      </c>
      <c r="H198" s="103" t="s">
        <v>527</v>
      </c>
      <c r="I198" s="132">
        <v>15</v>
      </c>
      <c r="J198" s="132" t="s">
        <v>272</v>
      </c>
      <c r="K198" s="132"/>
      <c r="L198" s="138">
        <v>0</v>
      </c>
      <c r="M198" s="139">
        <v>0</v>
      </c>
      <c r="N198" s="80">
        <f>2745/15</f>
        <v>183</v>
      </c>
      <c r="O198" s="83">
        <f t="shared" si="320"/>
        <v>2745</v>
      </c>
      <c r="P198" s="141">
        <f t="shared" si="321"/>
        <v>109.8</v>
      </c>
      <c r="Q198" s="83">
        <f t="shared" si="322"/>
        <v>192.15</v>
      </c>
      <c r="R198" s="83">
        <f t="shared" si="323"/>
        <v>0</v>
      </c>
      <c r="S198" s="83">
        <f t="shared" si="324"/>
        <v>301.95</v>
      </c>
      <c r="T198" s="83">
        <f t="shared" si="325"/>
        <v>2745</v>
      </c>
      <c r="U198" s="83">
        <f t="shared" si="326"/>
        <v>3046.95</v>
      </c>
      <c r="V198" s="83"/>
      <c r="W198" s="83"/>
      <c r="X198" s="83">
        <v>0</v>
      </c>
      <c r="Y198" s="84">
        <f t="shared" si="331"/>
        <v>49.22291199999998</v>
      </c>
      <c r="Z198" s="83">
        <f>TRUNC(IF(Y198&gt;0.01,Y198,0),2)</f>
        <v>49.22</v>
      </c>
      <c r="AA198" s="142">
        <f>TRUNC(IF(Y198&lt;0.01,-Y198,0),2)</f>
        <v>0</v>
      </c>
      <c r="AB198" s="142">
        <f t="shared" si="330"/>
        <v>2997.73</v>
      </c>
      <c r="AC198" s="143">
        <f>[2]PORTADA!$D$10</f>
        <v>1</v>
      </c>
      <c r="AD198" s="138"/>
      <c r="AE198" s="40">
        <v>118</v>
      </c>
      <c r="AG198" s="91"/>
    </row>
    <row r="199" spans="1:33" s="40" customFormat="1" ht="36" customHeight="1">
      <c r="A199" s="105"/>
      <c r="B199" s="188"/>
      <c r="C199" s="188"/>
      <c r="D199" s="64" t="s">
        <v>688</v>
      </c>
      <c r="E199" s="147" t="s">
        <v>176</v>
      </c>
      <c r="F199" s="147" t="s">
        <v>211</v>
      </c>
      <c r="G199" s="148">
        <v>37987</v>
      </c>
      <c r="H199" s="103" t="s">
        <v>527</v>
      </c>
      <c r="I199" s="132">
        <v>15</v>
      </c>
      <c r="J199" s="132" t="s">
        <v>272</v>
      </c>
      <c r="K199" s="132"/>
      <c r="L199" s="138">
        <v>0</v>
      </c>
      <c r="M199" s="139">
        <v>0</v>
      </c>
      <c r="N199" s="80">
        <f>2745/15</f>
        <v>183</v>
      </c>
      <c r="O199" s="83">
        <f t="shared" si="320"/>
        <v>2745</v>
      </c>
      <c r="P199" s="141">
        <f t="shared" si="321"/>
        <v>109.8</v>
      </c>
      <c r="Q199" s="83">
        <f t="shared" si="322"/>
        <v>192.15</v>
      </c>
      <c r="R199" s="83">
        <f t="shared" si="323"/>
        <v>0</v>
      </c>
      <c r="S199" s="83">
        <f t="shared" si="324"/>
        <v>301.95</v>
      </c>
      <c r="T199" s="83">
        <f t="shared" si="325"/>
        <v>2745</v>
      </c>
      <c r="U199" s="83">
        <f t="shared" si="326"/>
        <v>3046.95</v>
      </c>
      <c r="V199" s="83"/>
      <c r="W199" s="83"/>
      <c r="X199" s="83">
        <v>0</v>
      </c>
      <c r="Y199" s="84">
        <f t="shared" si="331"/>
        <v>49.22291199999998</v>
      </c>
      <c r="Z199" s="83">
        <f>TRUNC(IF(Y199&gt;0.01,Y199,0),2)</f>
        <v>49.22</v>
      </c>
      <c r="AA199" s="142">
        <f>TRUNC(IF(Y199&lt;0.01,-Y199,0),2)</f>
        <v>0</v>
      </c>
      <c r="AB199" s="142">
        <f t="shared" si="330"/>
        <v>2997.73</v>
      </c>
      <c r="AC199" s="143"/>
      <c r="AD199" s="138"/>
      <c r="AE199" s="40">
        <v>119</v>
      </c>
      <c r="AG199" s="91"/>
    </row>
    <row r="200" spans="1:33" s="40" customFormat="1" ht="36" customHeight="1">
      <c r="A200" s="105"/>
      <c r="B200" s="188"/>
      <c r="C200" s="188"/>
      <c r="D200" s="64" t="s">
        <v>263</v>
      </c>
      <c r="E200" s="147" t="s">
        <v>464</v>
      </c>
      <c r="F200" s="147" t="s">
        <v>465</v>
      </c>
      <c r="G200" s="148">
        <v>39829</v>
      </c>
      <c r="H200" s="103" t="s">
        <v>280</v>
      </c>
      <c r="I200" s="132">
        <v>15</v>
      </c>
      <c r="J200" s="132" t="s">
        <v>272</v>
      </c>
      <c r="K200" s="132"/>
      <c r="L200" s="138">
        <v>0</v>
      </c>
      <c r="M200" s="139">
        <v>0</v>
      </c>
      <c r="N200" s="80">
        <f>2745/15</f>
        <v>183</v>
      </c>
      <c r="O200" s="83">
        <f t="shared" si="320"/>
        <v>2745</v>
      </c>
      <c r="P200" s="141">
        <f t="shared" si="321"/>
        <v>109.8</v>
      </c>
      <c r="Q200" s="83">
        <f t="shared" si="322"/>
        <v>192.15</v>
      </c>
      <c r="R200" s="83">
        <f t="shared" si="323"/>
        <v>0</v>
      </c>
      <c r="S200" s="83">
        <f t="shared" si="324"/>
        <v>301.95</v>
      </c>
      <c r="T200" s="83">
        <f t="shared" si="325"/>
        <v>2745</v>
      </c>
      <c r="U200" s="83">
        <f t="shared" si="326"/>
        <v>3046.95</v>
      </c>
      <c r="V200" s="83"/>
      <c r="W200" s="83"/>
      <c r="X200" s="83">
        <v>0</v>
      </c>
      <c r="Y200" s="84">
        <f t="shared" si="331"/>
        <v>49.22291199999998</v>
      </c>
      <c r="Z200" s="83">
        <f t="shared" si="328"/>
        <v>49.22</v>
      </c>
      <c r="AA200" s="142">
        <f t="shared" si="329"/>
        <v>0</v>
      </c>
      <c r="AB200" s="142">
        <f t="shared" si="330"/>
        <v>2997.73</v>
      </c>
      <c r="AC200" s="143">
        <f>[2]PORTADA!$D$10</f>
        <v>1</v>
      </c>
      <c r="AD200" s="138"/>
      <c r="AE200" s="40">
        <v>120</v>
      </c>
      <c r="AG200" s="91"/>
    </row>
    <row r="201" spans="1:33" s="40" customFormat="1" ht="36" customHeight="1">
      <c r="A201" s="105"/>
      <c r="B201" s="188"/>
      <c r="C201" s="188"/>
      <c r="D201" s="64" t="s">
        <v>258</v>
      </c>
      <c r="E201" s="214" t="s">
        <v>259</v>
      </c>
      <c r="F201" s="214" t="s">
        <v>466</v>
      </c>
      <c r="G201" s="195">
        <v>39083</v>
      </c>
      <c r="H201" s="103" t="s">
        <v>526</v>
      </c>
      <c r="I201" s="132">
        <v>15</v>
      </c>
      <c r="J201" s="132" t="s">
        <v>272</v>
      </c>
      <c r="K201" s="132"/>
      <c r="L201" s="138">
        <v>0</v>
      </c>
      <c r="M201" s="139">
        <v>0</v>
      </c>
      <c r="N201" s="80">
        <f>2222/15</f>
        <v>148.13333333333333</v>
      </c>
      <c r="O201" s="83">
        <f t="shared" si="320"/>
        <v>2222</v>
      </c>
      <c r="P201" s="141">
        <f t="shared" si="321"/>
        <v>88.88</v>
      </c>
      <c r="Q201" s="83">
        <f t="shared" si="322"/>
        <v>155.54</v>
      </c>
      <c r="R201" s="83">
        <f t="shared" si="323"/>
        <v>0</v>
      </c>
      <c r="S201" s="83">
        <f t="shared" si="324"/>
        <v>244.42</v>
      </c>
      <c r="T201" s="83">
        <f t="shared" si="325"/>
        <v>2222</v>
      </c>
      <c r="U201" s="83">
        <f t="shared" si="326"/>
        <v>2466.42</v>
      </c>
      <c r="V201" s="83"/>
      <c r="W201" s="83"/>
      <c r="X201" s="83">
        <v>0</v>
      </c>
      <c r="Y201" s="84">
        <f t="shared" si="331"/>
        <v>-37.079488000000026</v>
      </c>
      <c r="Z201" s="83">
        <f t="shared" si="328"/>
        <v>0</v>
      </c>
      <c r="AA201" s="142">
        <f t="shared" si="329"/>
        <v>37.07</v>
      </c>
      <c r="AB201" s="142">
        <f t="shared" si="330"/>
        <v>2503.4900000000002</v>
      </c>
      <c r="AC201" s="143">
        <f>[2]PORTADA!$D$10</f>
        <v>1</v>
      </c>
      <c r="AD201" s="138"/>
      <c r="AE201" s="40">
        <v>121</v>
      </c>
      <c r="AG201" s="91"/>
    </row>
    <row r="202" spans="1:33" s="40" customFormat="1" ht="12.75">
      <c r="A202" s="105"/>
      <c r="B202" s="197"/>
      <c r="C202" s="180"/>
      <c r="D202" s="95" t="s">
        <v>301</v>
      </c>
      <c r="E202" s="43"/>
      <c r="F202" s="43"/>
      <c r="G202" s="44"/>
      <c r="H202" s="96"/>
      <c r="I202" s="51"/>
      <c r="J202" s="51"/>
      <c r="K202" s="51"/>
      <c r="L202" s="52"/>
      <c r="M202" s="53"/>
      <c r="N202" s="97"/>
      <c r="O202" s="98">
        <f>SUM(O192:O201)</f>
        <v>24951.03</v>
      </c>
      <c r="P202" s="98">
        <f t="shared" ref="P202:AB202" si="333">SUM(P192:P201)</f>
        <v>998.03999999999985</v>
      </c>
      <c r="Q202" s="98">
        <f t="shared" si="333"/>
        <v>1746.5700000000002</v>
      </c>
      <c r="R202" s="98">
        <f t="shared" si="333"/>
        <v>0</v>
      </c>
      <c r="S202" s="98">
        <f t="shared" si="333"/>
        <v>2744.61</v>
      </c>
      <c r="T202" s="98">
        <f t="shared" si="333"/>
        <v>24951.03</v>
      </c>
      <c r="U202" s="98">
        <f t="shared" si="333"/>
        <v>27695.64</v>
      </c>
      <c r="V202" s="98">
        <f t="shared" si="333"/>
        <v>0</v>
      </c>
      <c r="W202" s="98">
        <f t="shared" si="333"/>
        <v>0</v>
      </c>
      <c r="X202" s="98">
        <f t="shared" si="333"/>
        <v>0</v>
      </c>
      <c r="Y202" s="98">
        <f t="shared" si="333"/>
        <v>73.341183999999799</v>
      </c>
      <c r="Z202" s="98">
        <f t="shared" si="333"/>
        <v>258.72000000000003</v>
      </c>
      <c r="AA202" s="98">
        <f t="shared" si="333"/>
        <v>185.35</v>
      </c>
      <c r="AB202" s="98">
        <f t="shared" si="333"/>
        <v>27622.27</v>
      </c>
      <c r="AC202" s="99"/>
      <c r="AD202" s="52"/>
    </row>
    <row r="203" spans="1:33" s="40" customFormat="1">
      <c r="A203" s="105"/>
      <c r="B203" s="197"/>
      <c r="C203" s="180"/>
      <c r="D203" s="127"/>
      <c r="E203" s="43"/>
      <c r="F203" s="43"/>
      <c r="G203" s="44"/>
      <c r="H203" s="96"/>
      <c r="I203" s="51"/>
      <c r="J203" s="51"/>
      <c r="K203" s="51"/>
      <c r="L203" s="52"/>
      <c r="M203" s="53"/>
      <c r="N203" s="97"/>
      <c r="O203" s="88"/>
      <c r="P203" s="181"/>
      <c r="Q203" s="88"/>
      <c r="R203" s="146"/>
      <c r="S203" s="88"/>
      <c r="T203" s="88"/>
      <c r="U203" s="88"/>
      <c r="V203" s="88"/>
      <c r="W203" s="88"/>
      <c r="X203" s="88"/>
      <c r="Y203" s="91"/>
      <c r="Z203" s="88"/>
      <c r="AA203" s="182"/>
      <c r="AB203" s="182"/>
      <c r="AC203" s="99"/>
      <c r="AD203" s="52"/>
    </row>
    <row r="204" spans="1:33" s="40" customFormat="1" ht="12.75">
      <c r="A204" s="105"/>
      <c r="B204" s="197"/>
      <c r="C204" s="180"/>
      <c r="D204" s="95" t="s">
        <v>163</v>
      </c>
      <c r="E204" s="43"/>
      <c r="F204" s="43"/>
      <c r="G204" s="44"/>
      <c r="H204" s="96"/>
      <c r="I204" s="51"/>
      <c r="J204" s="51"/>
      <c r="K204" s="51"/>
      <c r="L204" s="52"/>
      <c r="M204" s="53"/>
      <c r="N204" s="97"/>
      <c r="O204" s="88"/>
      <c r="P204" s="181"/>
      <c r="Q204" s="88"/>
      <c r="R204" s="146"/>
      <c r="S204" s="88"/>
      <c r="T204" s="88"/>
      <c r="U204" s="88"/>
      <c r="V204" s="88"/>
      <c r="W204" s="88"/>
      <c r="X204" s="88"/>
      <c r="Y204" s="91"/>
      <c r="Z204" s="88"/>
      <c r="AA204" s="182"/>
      <c r="AB204" s="182"/>
      <c r="AC204" s="99"/>
      <c r="AD204" s="52"/>
    </row>
    <row r="205" spans="1:33" s="40" customFormat="1" ht="36" customHeight="1">
      <c r="A205" s="105">
        <v>107</v>
      </c>
      <c r="B205" s="71" t="s">
        <v>25</v>
      </c>
      <c r="C205" s="71" t="s">
        <v>98</v>
      </c>
      <c r="D205" s="64" t="s">
        <v>636</v>
      </c>
      <c r="E205" s="147" t="s">
        <v>195</v>
      </c>
      <c r="F205" s="147" t="s">
        <v>229</v>
      </c>
      <c r="G205" s="148">
        <v>37987</v>
      </c>
      <c r="H205" s="149" t="s">
        <v>637</v>
      </c>
      <c r="I205" s="72">
        <v>15</v>
      </c>
      <c r="J205" s="72" t="s">
        <v>272</v>
      </c>
      <c r="K205" s="72"/>
      <c r="L205" s="73">
        <v>0</v>
      </c>
      <c r="M205" s="74">
        <v>0</v>
      </c>
      <c r="N205" s="80">
        <v>196.46899999999999</v>
      </c>
      <c r="O205" s="81">
        <f t="shared" ref="O205:O213" si="334">TRUNC(N205*I205,2)</f>
        <v>2947.03</v>
      </c>
      <c r="P205" s="82">
        <f t="shared" ref="P205:P213" si="335">TRUNC(N205*I205*0.04,2)</f>
        <v>117.88</v>
      </c>
      <c r="Q205" s="81">
        <f t="shared" ref="Q205:Q213" si="336">TRUNC(N205*0.07*I205,2)</f>
        <v>206.29</v>
      </c>
      <c r="R205" s="83">
        <f t="shared" ref="R205:R213" si="337">L205</f>
        <v>0</v>
      </c>
      <c r="S205" s="81">
        <f t="shared" ref="S205:S213" si="338">TRUNC(Q205+P205+(IF(R205&gt;519,519,R205))+IF(K205=0,0,K205*N205),2)</f>
        <v>324.17</v>
      </c>
      <c r="T205" s="81">
        <f t="shared" ref="T205:T213" si="339">TRUNC((IF(K205=0,I205*N205,(I205-K205)*N205))+(IF(R205&lt;519,0,R205-519)),2)+M205</f>
        <v>2947.03</v>
      </c>
      <c r="U205" s="81">
        <f t="shared" ref="U205:U213" si="340">S205+T205</f>
        <v>3271.2000000000003</v>
      </c>
      <c r="V205" s="81"/>
      <c r="W205" s="81"/>
      <c r="X205" s="81">
        <v>0</v>
      </c>
      <c r="Y205" s="84">
        <f t="shared" ref="Y205" si="341">IF(N205&gt;0.01,(T205-VLOOKUP(T205,quincenal,1))*VLOOKUP(T205,quincenal,3)+VLOOKUP(T205,quincenal,2)-VLOOKUP(T205,subquincenal,2),0)</f>
        <v>71.203776000000005</v>
      </c>
      <c r="Z205" s="81">
        <f t="shared" ref="Z205:Z210" si="342">TRUNC(IF(Y205&gt;0.01,Y205,0),2)</f>
        <v>71.2</v>
      </c>
      <c r="AA205" s="85">
        <f t="shared" ref="AA205:AA213" si="343">TRUNC(IF(Y205&lt;0.01,-Y205,0),2)</f>
        <v>0</v>
      </c>
      <c r="AB205" s="85">
        <f t="shared" ref="AB205:AB213" si="344">U205-W205-X205-Z205+AA205</f>
        <v>3200.0000000000005</v>
      </c>
      <c r="AC205" s="86" t="e">
        <f>#REF!</f>
        <v>#REF!</v>
      </c>
      <c r="AD205" s="73"/>
      <c r="AE205" s="40">
        <v>122</v>
      </c>
      <c r="AG205" s="91"/>
    </row>
    <row r="206" spans="1:33" s="40" customFormat="1" ht="36" customHeight="1">
      <c r="A206" s="105"/>
      <c r="B206" s="188"/>
      <c r="C206" s="188"/>
      <c r="D206" s="64" t="s">
        <v>99</v>
      </c>
      <c r="E206" s="147" t="s">
        <v>195</v>
      </c>
      <c r="F206" s="147" t="s">
        <v>229</v>
      </c>
      <c r="G206" s="148">
        <v>37987</v>
      </c>
      <c r="H206" s="67" t="s">
        <v>330</v>
      </c>
      <c r="I206" s="132">
        <v>15</v>
      </c>
      <c r="J206" s="132" t="s">
        <v>272</v>
      </c>
      <c r="K206" s="132"/>
      <c r="L206" s="138">
        <v>0</v>
      </c>
      <c r="M206" s="139">
        <v>0</v>
      </c>
      <c r="N206" s="80">
        <f>2307/15</f>
        <v>153.80000000000001</v>
      </c>
      <c r="O206" s="83">
        <f t="shared" si="334"/>
        <v>2307</v>
      </c>
      <c r="P206" s="141">
        <f t="shared" si="335"/>
        <v>92.28</v>
      </c>
      <c r="Q206" s="83">
        <f t="shared" si="336"/>
        <v>161.49</v>
      </c>
      <c r="R206" s="83">
        <f t="shared" si="337"/>
        <v>0</v>
      </c>
      <c r="S206" s="83">
        <f t="shared" si="338"/>
        <v>253.77</v>
      </c>
      <c r="T206" s="83">
        <f t="shared" si="339"/>
        <v>2307</v>
      </c>
      <c r="U206" s="83">
        <f t="shared" si="340"/>
        <v>2560.77</v>
      </c>
      <c r="V206" s="83"/>
      <c r="W206" s="83"/>
      <c r="X206" s="83">
        <v>0</v>
      </c>
      <c r="Y206" s="84">
        <f t="shared" ref="Y206:Y213" si="345">IF(N206&gt;0.01,(T206-VLOOKUP(T206,quincenal,1))*VLOOKUP(T206,quincenal,3)+VLOOKUP(T206,quincenal,2)-VLOOKUP(T206,subquincenal,2),0)</f>
        <v>-27.831488000000036</v>
      </c>
      <c r="Z206" s="83">
        <f t="shared" si="342"/>
        <v>0</v>
      </c>
      <c r="AA206" s="142">
        <f t="shared" si="343"/>
        <v>27.83</v>
      </c>
      <c r="AB206" s="142">
        <f t="shared" si="344"/>
        <v>2588.6</v>
      </c>
      <c r="AC206" s="143">
        <f>[2]PORTADA!$D$10</f>
        <v>1</v>
      </c>
      <c r="AD206" s="138"/>
      <c r="AE206" s="40">
        <v>123</v>
      </c>
      <c r="AG206" s="91"/>
    </row>
    <row r="207" spans="1:33" s="40" customFormat="1" ht="36" customHeight="1">
      <c r="A207" s="105"/>
      <c r="B207" s="188"/>
      <c r="C207" s="188"/>
      <c r="D207" s="64" t="s">
        <v>243</v>
      </c>
      <c r="E207" s="147" t="s">
        <v>488</v>
      </c>
      <c r="F207" s="147" t="s">
        <v>244</v>
      </c>
      <c r="G207" s="148">
        <v>37987</v>
      </c>
      <c r="H207" s="67" t="s">
        <v>330</v>
      </c>
      <c r="I207" s="132">
        <v>15</v>
      </c>
      <c r="J207" s="132" t="s">
        <v>272</v>
      </c>
      <c r="K207" s="132"/>
      <c r="L207" s="138">
        <v>0</v>
      </c>
      <c r="M207" s="139">
        <v>0</v>
      </c>
      <c r="N207" s="80">
        <f>2222/15</f>
        <v>148.13333333333333</v>
      </c>
      <c r="O207" s="83">
        <f t="shared" si="334"/>
        <v>2222</v>
      </c>
      <c r="P207" s="141">
        <f t="shared" si="335"/>
        <v>88.88</v>
      </c>
      <c r="Q207" s="83">
        <f t="shared" si="336"/>
        <v>155.54</v>
      </c>
      <c r="R207" s="83">
        <f t="shared" si="337"/>
        <v>0</v>
      </c>
      <c r="S207" s="83">
        <f t="shared" si="338"/>
        <v>244.42</v>
      </c>
      <c r="T207" s="83">
        <f t="shared" si="339"/>
        <v>2222</v>
      </c>
      <c r="U207" s="83">
        <f t="shared" si="340"/>
        <v>2466.42</v>
      </c>
      <c r="V207" s="83"/>
      <c r="W207" s="83"/>
      <c r="X207" s="83">
        <v>0</v>
      </c>
      <c r="Y207" s="84">
        <f t="shared" si="345"/>
        <v>-37.079488000000026</v>
      </c>
      <c r="Z207" s="83">
        <f t="shared" si="342"/>
        <v>0</v>
      </c>
      <c r="AA207" s="142">
        <f t="shared" si="343"/>
        <v>37.07</v>
      </c>
      <c r="AB207" s="142">
        <f t="shared" si="344"/>
        <v>2503.4900000000002</v>
      </c>
      <c r="AC207" s="143">
        <f>[2]PORTADA!$D$10</f>
        <v>1</v>
      </c>
      <c r="AD207" s="138"/>
      <c r="AE207" s="40">
        <v>124</v>
      </c>
      <c r="AG207" s="91"/>
    </row>
    <row r="208" spans="1:33" s="40" customFormat="1" ht="36" customHeight="1">
      <c r="A208" s="105"/>
      <c r="B208" s="188"/>
      <c r="C208" s="188"/>
      <c r="D208" s="64" t="s">
        <v>331</v>
      </c>
      <c r="E208" s="65"/>
      <c r="F208" s="65"/>
      <c r="G208" s="66"/>
      <c r="H208" s="67" t="s">
        <v>330</v>
      </c>
      <c r="I208" s="132">
        <v>15</v>
      </c>
      <c r="J208" s="132" t="s">
        <v>272</v>
      </c>
      <c r="K208" s="132"/>
      <c r="L208" s="138">
        <v>0</v>
      </c>
      <c r="M208" s="139">
        <v>0</v>
      </c>
      <c r="N208" s="80">
        <f t="shared" ref="N208:N211" si="346">2222/15</f>
        <v>148.13333333333333</v>
      </c>
      <c r="O208" s="83">
        <f t="shared" si="334"/>
        <v>2222</v>
      </c>
      <c r="P208" s="141">
        <f t="shared" si="335"/>
        <v>88.88</v>
      </c>
      <c r="Q208" s="83">
        <f t="shared" si="336"/>
        <v>155.54</v>
      </c>
      <c r="R208" s="83">
        <f t="shared" si="337"/>
        <v>0</v>
      </c>
      <c r="S208" s="83">
        <f t="shared" si="338"/>
        <v>244.42</v>
      </c>
      <c r="T208" s="83">
        <f t="shared" si="339"/>
        <v>2222</v>
      </c>
      <c r="U208" s="83">
        <f t="shared" si="340"/>
        <v>2466.42</v>
      </c>
      <c r="V208" s="83"/>
      <c r="W208" s="83"/>
      <c r="X208" s="83">
        <v>0</v>
      </c>
      <c r="Y208" s="84">
        <f t="shared" si="345"/>
        <v>-37.079488000000026</v>
      </c>
      <c r="Z208" s="83">
        <f t="shared" si="342"/>
        <v>0</v>
      </c>
      <c r="AA208" s="142">
        <f t="shared" si="343"/>
        <v>37.07</v>
      </c>
      <c r="AB208" s="142">
        <f t="shared" si="344"/>
        <v>2503.4900000000002</v>
      </c>
      <c r="AC208" s="143"/>
      <c r="AD208" s="138"/>
      <c r="AE208" s="40">
        <v>125</v>
      </c>
      <c r="AG208" s="91"/>
    </row>
    <row r="209" spans="1:33" s="40" customFormat="1" ht="36" customHeight="1">
      <c r="A209" s="105"/>
      <c r="B209" s="188"/>
      <c r="C209" s="188"/>
      <c r="D209" s="64" t="s">
        <v>333</v>
      </c>
      <c r="E209" s="65"/>
      <c r="F209" s="65"/>
      <c r="G209" s="66"/>
      <c r="H209" s="67" t="s">
        <v>330</v>
      </c>
      <c r="I209" s="132">
        <v>15</v>
      </c>
      <c r="J209" s="132" t="s">
        <v>272</v>
      </c>
      <c r="K209" s="132"/>
      <c r="L209" s="138">
        <v>0</v>
      </c>
      <c r="M209" s="139">
        <v>0</v>
      </c>
      <c r="N209" s="80">
        <f t="shared" si="346"/>
        <v>148.13333333333333</v>
      </c>
      <c r="O209" s="83">
        <f t="shared" si="334"/>
        <v>2222</v>
      </c>
      <c r="P209" s="141">
        <f t="shared" si="335"/>
        <v>88.88</v>
      </c>
      <c r="Q209" s="83">
        <f t="shared" si="336"/>
        <v>155.54</v>
      </c>
      <c r="R209" s="83">
        <f t="shared" si="337"/>
        <v>0</v>
      </c>
      <c r="S209" s="83">
        <f t="shared" si="338"/>
        <v>244.42</v>
      </c>
      <c r="T209" s="83">
        <f t="shared" si="339"/>
        <v>2222</v>
      </c>
      <c r="U209" s="83">
        <f t="shared" si="340"/>
        <v>2466.42</v>
      </c>
      <c r="V209" s="83"/>
      <c r="W209" s="83">
        <v>0</v>
      </c>
      <c r="X209" s="83">
        <v>0</v>
      </c>
      <c r="Y209" s="84">
        <f t="shared" si="345"/>
        <v>-37.079488000000026</v>
      </c>
      <c r="Z209" s="83">
        <f t="shared" si="342"/>
        <v>0</v>
      </c>
      <c r="AA209" s="142">
        <f t="shared" si="343"/>
        <v>37.07</v>
      </c>
      <c r="AB209" s="142">
        <f t="shared" si="344"/>
        <v>2503.4900000000002</v>
      </c>
      <c r="AC209" s="143"/>
      <c r="AD209" s="138"/>
      <c r="AE209" s="40">
        <v>126</v>
      </c>
      <c r="AG209" s="91"/>
    </row>
    <row r="210" spans="1:33" s="40" customFormat="1" ht="36" customHeight="1">
      <c r="A210" s="105"/>
      <c r="B210" s="188"/>
      <c r="C210" s="188"/>
      <c r="D210" s="64" t="s">
        <v>334</v>
      </c>
      <c r="E210" s="65"/>
      <c r="F210" s="65"/>
      <c r="G210" s="66"/>
      <c r="H210" s="67" t="s">
        <v>330</v>
      </c>
      <c r="I210" s="132">
        <v>15</v>
      </c>
      <c r="J210" s="132" t="s">
        <v>272</v>
      </c>
      <c r="K210" s="132"/>
      <c r="L210" s="138">
        <v>0</v>
      </c>
      <c r="M210" s="139">
        <v>0</v>
      </c>
      <c r="N210" s="80">
        <f t="shared" si="346"/>
        <v>148.13333333333333</v>
      </c>
      <c r="O210" s="83">
        <f t="shared" si="334"/>
        <v>2222</v>
      </c>
      <c r="P210" s="141">
        <f t="shared" si="335"/>
        <v>88.88</v>
      </c>
      <c r="Q210" s="83">
        <f t="shared" si="336"/>
        <v>155.54</v>
      </c>
      <c r="R210" s="83">
        <f t="shared" si="337"/>
        <v>0</v>
      </c>
      <c r="S210" s="83">
        <f t="shared" si="338"/>
        <v>244.42</v>
      </c>
      <c r="T210" s="83">
        <f t="shared" si="339"/>
        <v>2222</v>
      </c>
      <c r="U210" s="83">
        <f t="shared" si="340"/>
        <v>2466.42</v>
      </c>
      <c r="V210" s="83"/>
      <c r="W210" s="83"/>
      <c r="X210" s="83">
        <v>0</v>
      </c>
      <c r="Y210" s="84">
        <f t="shared" si="345"/>
        <v>-37.079488000000026</v>
      </c>
      <c r="Z210" s="83">
        <f t="shared" si="342"/>
        <v>0</v>
      </c>
      <c r="AA210" s="142">
        <f t="shared" si="343"/>
        <v>37.07</v>
      </c>
      <c r="AB210" s="142">
        <f t="shared" si="344"/>
        <v>2503.4900000000002</v>
      </c>
      <c r="AC210" s="143"/>
      <c r="AD210" s="138"/>
      <c r="AE210" s="40">
        <v>127</v>
      </c>
      <c r="AG210" s="91"/>
    </row>
    <row r="211" spans="1:33" s="40" customFormat="1" ht="36" customHeight="1">
      <c r="A211" s="105"/>
      <c r="B211" s="180"/>
      <c r="C211" s="180"/>
      <c r="D211" s="64" t="s">
        <v>101</v>
      </c>
      <c r="E211" s="147" t="s">
        <v>205</v>
      </c>
      <c r="F211" s="147" t="s">
        <v>239</v>
      </c>
      <c r="G211" s="148">
        <v>38353</v>
      </c>
      <c r="H211" s="67" t="s">
        <v>102</v>
      </c>
      <c r="I211" s="132">
        <v>15</v>
      </c>
      <c r="J211" s="132" t="s">
        <v>272</v>
      </c>
      <c r="K211" s="132"/>
      <c r="L211" s="138">
        <v>0</v>
      </c>
      <c r="M211" s="139">
        <v>0</v>
      </c>
      <c r="N211" s="80">
        <f t="shared" si="346"/>
        <v>148.13333333333333</v>
      </c>
      <c r="O211" s="83">
        <f t="shared" si="334"/>
        <v>2222</v>
      </c>
      <c r="P211" s="141">
        <f t="shared" si="335"/>
        <v>88.88</v>
      </c>
      <c r="Q211" s="83">
        <f t="shared" si="336"/>
        <v>155.54</v>
      </c>
      <c r="R211" s="83">
        <f t="shared" si="337"/>
        <v>0</v>
      </c>
      <c r="S211" s="83">
        <f t="shared" si="338"/>
        <v>244.42</v>
      </c>
      <c r="T211" s="83">
        <f t="shared" si="339"/>
        <v>2222</v>
      </c>
      <c r="U211" s="83">
        <f t="shared" si="340"/>
        <v>2466.42</v>
      </c>
      <c r="V211" s="83"/>
      <c r="W211" s="83"/>
      <c r="X211" s="83">
        <v>0</v>
      </c>
      <c r="Y211" s="84">
        <f t="shared" si="345"/>
        <v>-37.079488000000026</v>
      </c>
      <c r="Z211" s="83">
        <f>TRUNC(IF(Y211&gt;0.01,Y211,0),2)</f>
        <v>0</v>
      </c>
      <c r="AA211" s="142">
        <f t="shared" si="343"/>
        <v>37.07</v>
      </c>
      <c r="AB211" s="142">
        <f t="shared" si="344"/>
        <v>2503.4900000000002</v>
      </c>
      <c r="AC211" s="143">
        <f>[2]PORTADA!$D$10</f>
        <v>1</v>
      </c>
      <c r="AD211" s="138"/>
      <c r="AE211" s="40">
        <v>128</v>
      </c>
    </row>
    <row r="212" spans="1:33" s="40" customFormat="1" ht="36" customHeight="1">
      <c r="A212" s="105"/>
      <c r="B212" s="180"/>
      <c r="C212" s="180"/>
      <c r="D212" s="64" t="s">
        <v>106</v>
      </c>
      <c r="E212" s="147" t="s">
        <v>438</v>
      </c>
      <c r="F212" s="147" t="s">
        <v>439</v>
      </c>
      <c r="G212" s="148">
        <v>38718</v>
      </c>
      <c r="H212" s="67" t="s">
        <v>107</v>
      </c>
      <c r="I212" s="132">
        <v>15</v>
      </c>
      <c r="J212" s="132" t="s">
        <v>272</v>
      </c>
      <c r="K212" s="132"/>
      <c r="L212" s="138">
        <v>0</v>
      </c>
      <c r="M212" s="139">
        <v>0</v>
      </c>
      <c r="N212" s="80">
        <f>2118/15</f>
        <v>141.19999999999999</v>
      </c>
      <c r="O212" s="83">
        <f t="shared" si="334"/>
        <v>2118</v>
      </c>
      <c r="P212" s="141">
        <f t="shared" si="335"/>
        <v>84.72</v>
      </c>
      <c r="Q212" s="83">
        <f t="shared" si="336"/>
        <v>148.26</v>
      </c>
      <c r="R212" s="83">
        <f>L212</f>
        <v>0</v>
      </c>
      <c r="S212" s="83">
        <f t="shared" si="338"/>
        <v>232.98</v>
      </c>
      <c r="T212" s="83">
        <f t="shared" si="339"/>
        <v>2118</v>
      </c>
      <c r="U212" s="83">
        <f>S212+T212</f>
        <v>2350.98</v>
      </c>
      <c r="V212" s="83"/>
      <c r="W212" s="83">
        <v>0</v>
      </c>
      <c r="X212" s="83">
        <v>0</v>
      </c>
      <c r="Y212" s="84">
        <f>IF(N212&gt;0.01,(T212-VLOOKUP(T212,quincenal,1))*VLOOKUP(T212,quincenal,3)+VLOOKUP(T212,quincenal,2)-VLOOKUP(T212,subquincenal,2),0)</f>
        <v>-62.344688000000005</v>
      </c>
      <c r="Z212" s="83">
        <f>TRUNC(IF(Y212&gt;0.01,Y212,0),2)</f>
        <v>0</v>
      </c>
      <c r="AA212" s="142">
        <f>TRUNC(IF(Y212&lt;0.01,-Y212,0),2)</f>
        <v>62.34</v>
      </c>
      <c r="AB212" s="142">
        <f>U212-W212-X212-Z212+AA212</f>
        <v>2413.3200000000002</v>
      </c>
      <c r="AC212" s="143"/>
      <c r="AD212" s="138"/>
      <c r="AE212" s="40">
        <v>129</v>
      </c>
    </row>
    <row r="213" spans="1:33" s="40" customFormat="1" ht="36" customHeight="1">
      <c r="A213" s="105"/>
      <c r="B213" s="180"/>
      <c r="C213" s="180"/>
      <c r="D213" s="64" t="s">
        <v>103</v>
      </c>
      <c r="E213" s="147" t="s">
        <v>175</v>
      </c>
      <c r="F213" s="147" t="s">
        <v>210</v>
      </c>
      <c r="G213" s="148">
        <v>37987</v>
      </c>
      <c r="H213" s="67" t="s">
        <v>104</v>
      </c>
      <c r="I213" s="132">
        <v>15</v>
      </c>
      <c r="J213" s="132" t="s">
        <v>272</v>
      </c>
      <c r="K213" s="132"/>
      <c r="L213" s="138">
        <v>0</v>
      </c>
      <c r="M213" s="139">
        <v>0</v>
      </c>
      <c r="N213" s="80">
        <f>2758/15</f>
        <v>183.86666666666667</v>
      </c>
      <c r="O213" s="83">
        <f t="shared" si="334"/>
        <v>2758</v>
      </c>
      <c r="P213" s="141">
        <f t="shared" si="335"/>
        <v>110.32</v>
      </c>
      <c r="Q213" s="83">
        <f t="shared" si="336"/>
        <v>193.06</v>
      </c>
      <c r="R213" s="83">
        <f t="shared" si="337"/>
        <v>0</v>
      </c>
      <c r="S213" s="83">
        <f t="shared" si="338"/>
        <v>303.38</v>
      </c>
      <c r="T213" s="83">
        <f t="shared" si="339"/>
        <v>2758</v>
      </c>
      <c r="U213" s="83">
        <f t="shared" si="340"/>
        <v>3061.38</v>
      </c>
      <c r="V213" s="83"/>
      <c r="W213" s="83"/>
      <c r="X213" s="83">
        <v>0</v>
      </c>
      <c r="Y213" s="84">
        <f t="shared" si="345"/>
        <v>50.63731199999998</v>
      </c>
      <c r="Z213" s="83">
        <f>TRUNC(IF(Y213&gt;0.01,Y213,0),2)</f>
        <v>50.63</v>
      </c>
      <c r="AA213" s="142">
        <f t="shared" si="343"/>
        <v>0</v>
      </c>
      <c r="AB213" s="142">
        <f t="shared" si="344"/>
        <v>3010.75</v>
      </c>
      <c r="AC213" s="143">
        <f>[2]PORTADA!$D$10</f>
        <v>1</v>
      </c>
      <c r="AD213" s="138"/>
      <c r="AE213" s="40">
        <v>130</v>
      </c>
    </row>
    <row r="214" spans="1:33" s="40" customFormat="1" ht="12.75">
      <c r="A214" s="105"/>
      <c r="B214" s="180"/>
      <c r="C214" s="180"/>
      <c r="D214" s="95" t="s">
        <v>302</v>
      </c>
      <c r="E214" s="43"/>
      <c r="F214" s="43"/>
      <c r="G214" s="44"/>
      <c r="H214" s="96"/>
      <c r="I214" s="51"/>
      <c r="J214" s="51"/>
      <c r="K214" s="51"/>
      <c r="L214" s="52"/>
      <c r="M214" s="53"/>
      <c r="N214" s="97"/>
      <c r="O214" s="98">
        <f>SUM(O205:O213)</f>
        <v>21240.03</v>
      </c>
      <c r="P214" s="98">
        <f t="shared" ref="P214:AB214" si="347">SUM(P205:P213)</f>
        <v>849.59999999999991</v>
      </c>
      <c r="Q214" s="98">
        <f t="shared" si="347"/>
        <v>1486.7999999999997</v>
      </c>
      <c r="R214" s="98">
        <f t="shared" si="347"/>
        <v>0</v>
      </c>
      <c r="S214" s="98">
        <f t="shared" si="347"/>
        <v>2336.4</v>
      </c>
      <c r="T214" s="98">
        <f t="shared" si="347"/>
        <v>21240.03</v>
      </c>
      <c r="U214" s="98">
        <f t="shared" si="347"/>
        <v>23576.43</v>
      </c>
      <c r="V214" s="98">
        <f t="shared" si="347"/>
        <v>0</v>
      </c>
      <c r="W214" s="98">
        <f t="shared" si="347"/>
        <v>0</v>
      </c>
      <c r="X214" s="98">
        <f t="shared" si="347"/>
        <v>0</v>
      </c>
      <c r="Y214" s="98">
        <f t="shared" si="347"/>
        <v>-153.7325280000002</v>
      </c>
      <c r="Z214" s="98">
        <f t="shared" si="347"/>
        <v>121.83000000000001</v>
      </c>
      <c r="AA214" s="98">
        <f t="shared" si="347"/>
        <v>275.52</v>
      </c>
      <c r="AB214" s="98">
        <f t="shared" si="347"/>
        <v>23730.12</v>
      </c>
      <c r="AC214" s="99"/>
      <c r="AD214" s="52"/>
    </row>
    <row r="215" spans="1:33" s="40" customFormat="1">
      <c r="A215" s="105"/>
      <c r="B215" s="180"/>
      <c r="C215" s="180"/>
      <c r="D215" s="127"/>
      <c r="E215" s="43"/>
      <c r="F215" s="43"/>
      <c r="G215" s="44"/>
      <c r="H215" s="96"/>
      <c r="I215" s="51"/>
      <c r="J215" s="51"/>
      <c r="K215" s="51"/>
      <c r="L215" s="52"/>
      <c r="M215" s="53"/>
      <c r="N215" s="97"/>
      <c r="O215" s="88"/>
      <c r="P215" s="181"/>
      <c r="Q215" s="88"/>
      <c r="R215" s="146"/>
      <c r="S215" s="88"/>
      <c r="T215" s="88"/>
      <c r="U215" s="88"/>
      <c r="V215" s="88"/>
      <c r="W215" s="88"/>
      <c r="X215" s="88"/>
      <c r="Y215" s="91"/>
      <c r="Z215" s="88"/>
      <c r="AA215" s="182"/>
      <c r="AB215" s="182"/>
      <c r="AC215" s="99"/>
      <c r="AD215" s="52"/>
    </row>
    <row r="216" spans="1:33" s="40" customFormat="1" ht="12.75">
      <c r="A216" s="105"/>
      <c r="B216" s="180"/>
      <c r="C216" s="180"/>
      <c r="D216" s="95" t="s">
        <v>164</v>
      </c>
      <c r="E216" s="43"/>
      <c r="F216" s="43"/>
      <c r="G216" s="44"/>
      <c r="H216" s="96"/>
      <c r="I216" s="51"/>
      <c r="J216" s="51"/>
      <c r="K216" s="51"/>
      <c r="L216" s="52"/>
      <c r="M216" s="53"/>
      <c r="N216" s="97"/>
      <c r="O216" s="88"/>
      <c r="P216" s="181"/>
      <c r="Q216" s="88"/>
      <c r="R216" s="146"/>
      <c r="S216" s="88"/>
      <c r="T216" s="88"/>
      <c r="U216" s="88"/>
      <c r="V216" s="88"/>
      <c r="W216" s="88"/>
      <c r="X216" s="88"/>
      <c r="Y216" s="91"/>
      <c r="Z216" s="88"/>
      <c r="AA216" s="182"/>
      <c r="AB216" s="182"/>
      <c r="AC216" s="99"/>
      <c r="AD216" s="52"/>
    </row>
    <row r="217" spans="1:33" s="40" customFormat="1" ht="36" customHeight="1">
      <c r="A217" s="105"/>
      <c r="B217" s="180"/>
      <c r="C217" s="180"/>
      <c r="D217" s="128" t="s">
        <v>110</v>
      </c>
      <c r="E217" s="147" t="s">
        <v>206</v>
      </c>
      <c r="F217" s="147" t="s">
        <v>241</v>
      </c>
      <c r="G217" s="148">
        <v>37987</v>
      </c>
      <c r="H217" s="215" t="s">
        <v>111</v>
      </c>
      <c r="I217" s="216">
        <v>15</v>
      </c>
      <c r="J217" s="216" t="s">
        <v>272</v>
      </c>
      <c r="K217" s="216"/>
      <c r="L217" s="217">
        <v>0</v>
      </c>
      <c r="M217" s="218">
        <v>0</v>
      </c>
      <c r="N217" s="219">
        <f>3428/15</f>
        <v>228.53333333333333</v>
      </c>
      <c r="O217" s="145">
        <f>TRUNC(N217*I217,2)</f>
        <v>3428</v>
      </c>
      <c r="P217" s="220">
        <f>TRUNC(N217*I217*0.04,2)</f>
        <v>137.12</v>
      </c>
      <c r="Q217" s="145">
        <f>TRUNC(N217*0.07*I217,2)</f>
        <v>239.96</v>
      </c>
      <c r="R217" s="145">
        <f>L217</f>
        <v>0</v>
      </c>
      <c r="S217" s="145">
        <f>TRUNC(Q217+P217+(IF(R217&gt;519,519,R217))+IF(K217=0,0,K217*N217),2)</f>
        <v>377.08</v>
      </c>
      <c r="T217" s="145">
        <f>TRUNC((IF(K217=0,I217*N217,(I217-K217)*N217))+(IF(R217&lt;519,0,R217-519)),2)+M217</f>
        <v>3428</v>
      </c>
      <c r="U217" s="145">
        <f>S217+T217</f>
        <v>3805.08</v>
      </c>
      <c r="V217" s="145"/>
      <c r="W217" s="145"/>
      <c r="X217" s="145">
        <v>0</v>
      </c>
      <c r="Y217" s="221">
        <f>IF(N217&gt;0.01,(T217-VLOOKUP(T217,quincenal,1))*VLOOKUP(T217,quincenal,3)+VLOOKUP(T217,quincenal,2)-VLOOKUP(T217,subquincenal,2),0)</f>
        <v>143.783312</v>
      </c>
      <c r="Z217" s="145">
        <f>TRUNC(IF(Y217&gt;0.01,Y217,0),2)</f>
        <v>143.78</v>
      </c>
      <c r="AA217" s="222">
        <f>TRUNC(IF(Y217&lt;0.01,-Y217,0),2)</f>
        <v>0</v>
      </c>
      <c r="AB217" s="222">
        <f>U217-W217-X217-Z217+AA217</f>
        <v>3661.2999999999997</v>
      </c>
      <c r="AC217" s="223">
        <f>[2]PORTADA!$D$10</f>
        <v>1</v>
      </c>
      <c r="AD217" s="217"/>
      <c r="AE217" s="40">
        <v>131</v>
      </c>
    </row>
    <row r="218" spans="1:33" s="40" customFormat="1" ht="36" customHeight="1">
      <c r="A218" s="105"/>
      <c r="B218" s="180"/>
      <c r="C218" s="180"/>
      <c r="D218" s="128" t="s">
        <v>707</v>
      </c>
      <c r="E218" s="147"/>
      <c r="F218" s="147"/>
      <c r="G218" s="148"/>
      <c r="H218" s="103" t="s">
        <v>706</v>
      </c>
      <c r="I218" s="72">
        <v>15</v>
      </c>
      <c r="J218" s="72" t="s">
        <v>272</v>
      </c>
      <c r="K218" s="72"/>
      <c r="L218" s="73">
        <v>0</v>
      </c>
      <c r="M218" s="74">
        <v>0</v>
      </c>
      <c r="N218" s="80">
        <v>217.7938</v>
      </c>
      <c r="O218" s="81">
        <f>TRUNC(N218*I218,2)</f>
        <v>3266.9</v>
      </c>
      <c r="P218" s="82">
        <f>TRUNC(N218*I218*0.04,2)</f>
        <v>130.66999999999999</v>
      </c>
      <c r="Q218" s="81">
        <f>TRUNC(N218*0.07*I218,2)</f>
        <v>228.68</v>
      </c>
      <c r="R218" s="83">
        <f>L218</f>
        <v>0</v>
      </c>
      <c r="S218" s="81">
        <f>TRUNC(Q218+P218+(IF(R218&gt;519,519,R218))+IF(K218=0,0,K218*N218),2)</f>
        <v>359.35</v>
      </c>
      <c r="T218" s="81">
        <f>TRUNC((IF(K218=0,I218*N218,(I218-K218)*N218))+(IF(R218&lt;519,0,R218-519)),2)+M218</f>
        <v>3266.9</v>
      </c>
      <c r="U218" s="81">
        <f>S218+T218</f>
        <v>3626.25</v>
      </c>
      <c r="V218" s="81"/>
      <c r="W218" s="81"/>
      <c r="X218" s="81">
        <v>0</v>
      </c>
      <c r="Y218" s="84">
        <f>IF(N218&gt;0.01,(T218-VLOOKUP(T218,quincenal,1))*VLOOKUP(T218,quincenal,3)+VLOOKUP(T218,quincenal,2)-VLOOKUP(T218,subquincenal,2),0)</f>
        <v>126.25563199999996</v>
      </c>
      <c r="Z218" s="81">
        <f>TRUNC(IF(Y218&gt;0.01,Y218,0),2)</f>
        <v>126.25</v>
      </c>
      <c r="AA218" s="85">
        <f>TRUNC(IF(Y218&lt;0.01,-Y218,0),2)</f>
        <v>0</v>
      </c>
      <c r="AB218" s="85">
        <f>U218-W218-X218-Z218+AA218</f>
        <v>3500</v>
      </c>
      <c r="AC218" s="223"/>
      <c r="AD218" s="217"/>
      <c r="AE218" s="40">
        <v>132</v>
      </c>
    </row>
    <row r="219" spans="1:33" s="40" customFormat="1" ht="36" customHeight="1">
      <c r="A219" s="105"/>
      <c r="B219" s="180"/>
      <c r="C219" s="180"/>
      <c r="D219" s="128" t="s">
        <v>668</v>
      </c>
      <c r="E219" s="147"/>
      <c r="F219" s="147"/>
      <c r="G219" s="148"/>
      <c r="H219" s="103" t="s">
        <v>528</v>
      </c>
      <c r="I219" s="72">
        <v>15</v>
      </c>
      <c r="J219" s="72" t="s">
        <v>272</v>
      </c>
      <c r="K219" s="72"/>
      <c r="L219" s="73">
        <v>0</v>
      </c>
      <c r="M219" s="74">
        <v>0</v>
      </c>
      <c r="N219" s="80">
        <v>217.7938</v>
      </c>
      <c r="O219" s="81">
        <f>TRUNC(N219*I219,2)</f>
        <v>3266.9</v>
      </c>
      <c r="P219" s="82">
        <f>TRUNC(N219*I219*0.04,2)</f>
        <v>130.66999999999999</v>
      </c>
      <c r="Q219" s="81">
        <f>TRUNC(N219*0.07*I219,2)</f>
        <v>228.68</v>
      </c>
      <c r="R219" s="83">
        <f>L219</f>
        <v>0</v>
      </c>
      <c r="S219" s="81">
        <f>TRUNC(Q219+P219+(IF(R219&gt;519,519,R219))+IF(K219=0,0,K219*N219),2)</f>
        <v>359.35</v>
      </c>
      <c r="T219" s="81">
        <f>TRUNC((IF(K219=0,I219*N219,(I219-K219)*N219))+(IF(R219&lt;519,0,R219-519)),2)+M219</f>
        <v>3266.9</v>
      </c>
      <c r="U219" s="81">
        <f>S219+T219</f>
        <v>3626.25</v>
      </c>
      <c r="V219" s="81"/>
      <c r="W219" s="81"/>
      <c r="X219" s="81">
        <v>0</v>
      </c>
      <c r="Y219" s="84">
        <f>IF(N219&gt;0.01,(T219-VLOOKUP(T219,quincenal,1))*VLOOKUP(T219,quincenal,3)+VLOOKUP(T219,quincenal,2)-VLOOKUP(T219,subquincenal,2),0)</f>
        <v>126.25563199999996</v>
      </c>
      <c r="Z219" s="81">
        <f>TRUNC(IF(Y219&gt;0.01,Y219,0),2)</f>
        <v>126.25</v>
      </c>
      <c r="AA219" s="85">
        <f>TRUNC(IF(Y219&lt;0.01,-Y219,0),2)</f>
        <v>0</v>
      </c>
      <c r="AB219" s="85">
        <f>U219-W219-X219-Z219+AA219</f>
        <v>3500</v>
      </c>
      <c r="AC219" s="223"/>
      <c r="AD219" s="217"/>
      <c r="AE219" s="40">
        <v>133</v>
      </c>
    </row>
    <row r="220" spans="1:33" s="40" customFormat="1" ht="36" customHeight="1">
      <c r="A220" s="105"/>
      <c r="B220" s="180"/>
      <c r="C220" s="180"/>
      <c r="D220" s="64" t="s">
        <v>335</v>
      </c>
      <c r="E220" s="65"/>
      <c r="F220" s="65"/>
      <c r="G220" s="66"/>
      <c r="H220" s="103" t="s">
        <v>528</v>
      </c>
      <c r="I220" s="132">
        <v>15</v>
      </c>
      <c r="J220" s="132" t="s">
        <v>272</v>
      </c>
      <c r="K220" s="132"/>
      <c r="L220" s="138">
        <v>0</v>
      </c>
      <c r="M220" s="139">
        <v>0</v>
      </c>
      <c r="N220" s="80">
        <f>2222/15</f>
        <v>148.13333333333333</v>
      </c>
      <c r="O220" s="83">
        <f>TRUNC(N220*I220,2)</f>
        <v>2222</v>
      </c>
      <c r="P220" s="141">
        <f>TRUNC(N220*I220*0.04,2)</f>
        <v>88.88</v>
      </c>
      <c r="Q220" s="83">
        <f>TRUNC(N220*0.07*I220,2)</f>
        <v>155.54</v>
      </c>
      <c r="R220" s="83">
        <f>L220</f>
        <v>0</v>
      </c>
      <c r="S220" s="83">
        <f>TRUNC(Q220+P220+(IF(R220&gt;519,519,R220))+IF(K220=0,0,K220*N220),2)</f>
        <v>244.42</v>
      </c>
      <c r="T220" s="83">
        <f>TRUNC((IF(K220=0,I220*N220,(I220-K220)*N220))+(IF(R220&lt;519,0,R220-519)),2)+M220</f>
        <v>2222</v>
      </c>
      <c r="U220" s="83">
        <f>S220+T220</f>
        <v>2466.42</v>
      </c>
      <c r="V220" s="83"/>
      <c r="W220" s="83"/>
      <c r="X220" s="83">
        <v>0</v>
      </c>
      <c r="Y220" s="84">
        <f>IF(N220&gt;0.01,(T220-VLOOKUP(T220,quincenal,1))*VLOOKUP(T220,quincenal,3)+VLOOKUP(T220,quincenal,2)-VLOOKUP(T220,subquincenal,2),0)</f>
        <v>-37.079488000000026</v>
      </c>
      <c r="Z220" s="83">
        <f>TRUNC(IF(Y220&gt;0.01,Y220,0),2)</f>
        <v>0</v>
      </c>
      <c r="AA220" s="142">
        <f>TRUNC(IF(Y220&lt;0.01,-Y220,0),2)</f>
        <v>37.07</v>
      </c>
      <c r="AB220" s="142">
        <f>U220-W220-X220-Z220+AA220</f>
        <v>2503.4900000000002</v>
      </c>
      <c r="AC220" s="143"/>
      <c r="AD220" s="138"/>
      <c r="AE220" s="40">
        <v>134</v>
      </c>
    </row>
    <row r="221" spans="1:33" s="40" customFormat="1" ht="12.75">
      <c r="A221" s="105"/>
      <c r="B221" s="180"/>
      <c r="C221" s="180"/>
      <c r="D221" s="95" t="s">
        <v>164</v>
      </c>
      <c r="E221" s="43"/>
      <c r="F221" s="43"/>
      <c r="G221" s="44"/>
      <c r="H221" s="96"/>
      <c r="I221" s="51"/>
      <c r="J221" s="51"/>
      <c r="K221" s="51"/>
      <c r="L221" s="52"/>
      <c r="M221" s="53"/>
      <c r="N221" s="97"/>
      <c r="O221" s="90">
        <f>SUM(O217:O220)</f>
        <v>12183.8</v>
      </c>
      <c r="P221" s="90">
        <f t="shared" ref="P221:AB221" si="348">SUM(P217:P220)</f>
        <v>487.33999999999992</v>
      </c>
      <c r="Q221" s="90">
        <f t="shared" si="348"/>
        <v>852.8599999999999</v>
      </c>
      <c r="R221" s="90">
        <f t="shared" si="348"/>
        <v>0</v>
      </c>
      <c r="S221" s="90">
        <f t="shared" si="348"/>
        <v>1340.2000000000003</v>
      </c>
      <c r="T221" s="90">
        <f t="shared" si="348"/>
        <v>12183.8</v>
      </c>
      <c r="U221" s="90">
        <f t="shared" si="348"/>
        <v>13524</v>
      </c>
      <c r="V221" s="90">
        <f t="shared" si="348"/>
        <v>0</v>
      </c>
      <c r="W221" s="90">
        <f t="shared" si="348"/>
        <v>0</v>
      </c>
      <c r="X221" s="90">
        <f t="shared" si="348"/>
        <v>0</v>
      </c>
      <c r="Y221" s="90">
        <f t="shared" si="348"/>
        <v>359.21508799999987</v>
      </c>
      <c r="Z221" s="90">
        <f t="shared" si="348"/>
        <v>396.28</v>
      </c>
      <c r="AA221" s="90">
        <f t="shared" si="348"/>
        <v>37.07</v>
      </c>
      <c r="AB221" s="90">
        <f t="shared" si="348"/>
        <v>13164.789999999999</v>
      </c>
      <c r="AC221" s="99"/>
      <c r="AD221" s="52"/>
    </row>
    <row r="222" spans="1:33" s="40" customFormat="1" ht="12.75">
      <c r="A222" s="105"/>
      <c r="B222" s="180"/>
      <c r="C222" s="180"/>
      <c r="D222" s="95"/>
      <c r="E222" s="43"/>
      <c r="F222" s="43"/>
      <c r="G222" s="44"/>
      <c r="H222" s="96"/>
      <c r="I222" s="51"/>
      <c r="J222" s="51"/>
      <c r="K222" s="51"/>
      <c r="L222" s="52"/>
      <c r="M222" s="53"/>
      <c r="N222" s="97"/>
      <c r="O222" s="88"/>
      <c r="P222" s="181"/>
      <c r="Q222" s="88"/>
      <c r="R222" s="146"/>
      <c r="S222" s="88"/>
      <c r="T222" s="88"/>
      <c r="U222" s="88"/>
      <c r="V222" s="88"/>
      <c r="W222" s="88"/>
      <c r="X222" s="88"/>
      <c r="Y222" s="91"/>
      <c r="Z222" s="88"/>
      <c r="AA222" s="182"/>
      <c r="AB222" s="182"/>
      <c r="AC222" s="99"/>
      <c r="AD222" s="52"/>
    </row>
    <row r="223" spans="1:33" s="40" customFormat="1">
      <c r="A223" s="105"/>
      <c r="B223" s="180"/>
      <c r="C223" s="180"/>
      <c r="D223" s="127"/>
      <c r="E223" s="43"/>
      <c r="F223" s="43"/>
      <c r="G223" s="44"/>
      <c r="H223" s="96"/>
      <c r="I223" s="51"/>
      <c r="J223" s="51"/>
      <c r="K223" s="51"/>
      <c r="L223" s="52"/>
      <c r="M223" s="53"/>
      <c r="N223" s="97"/>
      <c r="O223" s="88"/>
      <c r="P223" s="181"/>
      <c r="Q223" s="88"/>
      <c r="R223" s="146"/>
      <c r="S223" s="88"/>
      <c r="T223" s="88"/>
      <c r="U223" s="88"/>
      <c r="V223" s="88"/>
      <c r="W223" s="88"/>
      <c r="X223" s="88"/>
      <c r="Y223" s="91"/>
      <c r="Z223" s="88"/>
      <c r="AA223" s="182"/>
      <c r="AB223" s="182"/>
      <c r="AC223" s="99"/>
      <c r="AD223" s="52"/>
    </row>
    <row r="224" spans="1:33" s="40" customFormat="1" ht="12.75">
      <c r="A224" s="105"/>
      <c r="B224" s="180"/>
      <c r="C224" s="180"/>
      <c r="D224" s="95" t="s">
        <v>303</v>
      </c>
      <c r="E224" s="43"/>
      <c r="F224" s="43"/>
      <c r="G224" s="44"/>
      <c r="H224" s="96"/>
      <c r="I224" s="51"/>
      <c r="J224" s="51"/>
      <c r="K224" s="51"/>
      <c r="L224" s="52"/>
      <c r="M224" s="53"/>
      <c r="N224" s="97"/>
      <c r="O224" s="88"/>
      <c r="P224" s="181"/>
      <c r="Q224" s="88"/>
      <c r="R224" s="146"/>
      <c r="S224" s="88"/>
      <c r="T224" s="88"/>
      <c r="U224" s="88"/>
      <c r="V224" s="88"/>
      <c r="W224" s="88"/>
      <c r="X224" s="88"/>
      <c r="Y224" s="91"/>
      <c r="Z224" s="88"/>
      <c r="AA224" s="182"/>
      <c r="AB224" s="182"/>
      <c r="AC224" s="99"/>
      <c r="AD224" s="52"/>
    </row>
    <row r="225" spans="1:33" s="40" customFormat="1" ht="36" customHeight="1">
      <c r="A225" s="105">
        <v>120</v>
      </c>
      <c r="B225" s="71">
        <v>5</v>
      </c>
      <c r="C225" s="71">
        <v>14</v>
      </c>
      <c r="D225" s="64" t="s">
        <v>588</v>
      </c>
      <c r="E225" s="65"/>
      <c r="F225" s="65"/>
      <c r="G225" s="66"/>
      <c r="H225" s="103" t="s">
        <v>589</v>
      </c>
      <c r="I225" s="72">
        <v>15</v>
      </c>
      <c r="J225" s="72" t="s">
        <v>272</v>
      </c>
      <c r="K225" s="72"/>
      <c r="L225" s="73">
        <v>0</v>
      </c>
      <c r="M225" s="74">
        <v>0</v>
      </c>
      <c r="N225" s="80">
        <v>147.9014</v>
      </c>
      <c r="O225" s="81">
        <f t="shared" ref="O225:O232" si="349">TRUNC(N225*I225,2)</f>
        <v>2218.52</v>
      </c>
      <c r="P225" s="82">
        <f t="shared" ref="P225:P232" si="350">TRUNC(N225*I225*0.04,2)</f>
        <v>88.74</v>
      </c>
      <c r="Q225" s="81">
        <f t="shared" ref="Q225:Q232" si="351">TRUNC(N225*0.07*I225,2)</f>
        <v>155.29</v>
      </c>
      <c r="R225" s="83">
        <f t="shared" ref="R225:R232" si="352">L225</f>
        <v>0</v>
      </c>
      <c r="S225" s="81">
        <f t="shared" ref="S225:S232" si="353">TRUNC(Q225+P225+(IF(R225&gt;519,519,R225))+IF(K225=0,0,K225*N225),2)</f>
        <v>244.03</v>
      </c>
      <c r="T225" s="81">
        <f t="shared" ref="T225:T232" si="354">TRUNC((IF(K225=0,I225*N225,(I225-K225)*N225))+(IF(R225&lt;519,0,R225-519)),2)+M225</f>
        <v>2218.52</v>
      </c>
      <c r="U225" s="81">
        <f t="shared" ref="U225:U232" si="355">S225+T225</f>
        <v>2462.5500000000002</v>
      </c>
      <c r="V225" s="81"/>
      <c r="W225" s="81"/>
      <c r="X225" s="81">
        <v>0</v>
      </c>
      <c r="Y225" s="84">
        <f t="shared" ref="Y225:Y229" si="356">IF(N225&gt;0.01,(T225-VLOOKUP(T225,quincenal,1))*VLOOKUP(T225,quincenal,3)+VLOOKUP(T225,quincenal,2)-VLOOKUP(T225,subquincenal,2),0)</f>
        <v>-37.458112000000028</v>
      </c>
      <c r="Z225" s="81">
        <f t="shared" ref="Z225" si="357">TRUNC(IF(Y225&gt;0.01,Y225,0),2)</f>
        <v>0</v>
      </c>
      <c r="AA225" s="85">
        <f t="shared" ref="AA225:AA232" si="358">TRUNC(IF(Y225&lt;0.01,-Y225,0),2)</f>
        <v>37.450000000000003</v>
      </c>
      <c r="AB225" s="85">
        <f t="shared" ref="AB225:AB232" si="359">U225-W225-X225-Z225+AA225</f>
        <v>2500</v>
      </c>
      <c r="AC225" s="86"/>
      <c r="AD225" s="73"/>
      <c r="AE225" s="40">
        <v>135</v>
      </c>
      <c r="AG225" s="91"/>
    </row>
    <row r="226" spans="1:33" s="40" customFormat="1" ht="36" customHeight="1">
      <c r="A226" s="105">
        <v>121</v>
      </c>
      <c r="B226" s="71"/>
      <c r="C226" s="71"/>
      <c r="D226" s="64" t="s">
        <v>613</v>
      </c>
      <c r="E226" s="65"/>
      <c r="F226" s="65"/>
      <c r="G226" s="66"/>
      <c r="H226" s="103" t="s">
        <v>614</v>
      </c>
      <c r="I226" s="72">
        <v>15</v>
      </c>
      <c r="J226" s="72" t="s">
        <v>272</v>
      </c>
      <c r="K226" s="72"/>
      <c r="L226" s="73">
        <v>0</v>
      </c>
      <c r="M226" s="74">
        <v>0</v>
      </c>
      <c r="N226" s="80">
        <v>113.977</v>
      </c>
      <c r="O226" s="81">
        <f t="shared" si="349"/>
        <v>1709.65</v>
      </c>
      <c r="P226" s="82">
        <f t="shared" si="350"/>
        <v>68.38</v>
      </c>
      <c r="Q226" s="81">
        <f t="shared" si="351"/>
        <v>119.67</v>
      </c>
      <c r="R226" s="83">
        <f t="shared" si="352"/>
        <v>0</v>
      </c>
      <c r="S226" s="81">
        <f t="shared" si="353"/>
        <v>188.05</v>
      </c>
      <c r="T226" s="81">
        <f t="shared" si="354"/>
        <v>1709.65</v>
      </c>
      <c r="U226" s="81">
        <f t="shared" si="355"/>
        <v>1897.7</v>
      </c>
      <c r="V226" s="81"/>
      <c r="W226" s="81"/>
      <c r="X226" s="81">
        <v>0</v>
      </c>
      <c r="Y226" s="84">
        <f t="shared" si="356"/>
        <v>-102.30023999999997</v>
      </c>
      <c r="Z226" s="81">
        <v>0</v>
      </c>
      <c r="AA226" s="85">
        <f t="shared" si="358"/>
        <v>102.3</v>
      </c>
      <c r="AB226" s="85">
        <f t="shared" si="359"/>
        <v>2000</v>
      </c>
      <c r="AC226" s="86"/>
      <c r="AD226" s="73"/>
      <c r="AE226" s="40">
        <v>136</v>
      </c>
      <c r="AG226" s="91"/>
    </row>
    <row r="227" spans="1:33" s="40" customFormat="1" ht="36" customHeight="1">
      <c r="A227" s="105"/>
      <c r="B227" s="71"/>
      <c r="C227" s="71"/>
      <c r="D227" s="64" t="s">
        <v>611</v>
      </c>
      <c r="E227" s="65"/>
      <c r="F227" s="65"/>
      <c r="G227" s="66"/>
      <c r="H227" s="103" t="s">
        <v>612</v>
      </c>
      <c r="I227" s="72">
        <v>15</v>
      </c>
      <c r="J227" s="72" t="s">
        <v>272</v>
      </c>
      <c r="K227" s="72"/>
      <c r="L227" s="73">
        <v>0</v>
      </c>
      <c r="M227" s="74">
        <v>0</v>
      </c>
      <c r="N227" s="80">
        <v>113.977</v>
      </c>
      <c r="O227" s="81">
        <f t="shared" ref="O227" si="360">TRUNC(N227*I227,2)</f>
        <v>1709.65</v>
      </c>
      <c r="P227" s="82">
        <f t="shared" ref="P227" si="361">TRUNC(N227*I227*0.04,2)</f>
        <v>68.38</v>
      </c>
      <c r="Q227" s="81">
        <f t="shared" ref="Q227" si="362">TRUNC(N227*0.07*I227,2)</f>
        <v>119.67</v>
      </c>
      <c r="R227" s="83">
        <f t="shared" ref="R227" si="363">L227</f>
        <v>0</v>
      </c>
      <c r="S227" s="81">
        <f t="shared" ref="S227" si="364">TRUNC(Q227+P227+(IF(R227&gt;519,519,R227))+IF(K227=0,0,K227*N227),2)</f>
        <v>188.05</v>
      </c>
      <c r="T227" s="81">
        <f t="shared" ref="T227" si="365">TRUNC((IF(K227=0,I227*N227,(I227-K227)*N227))+(IF(R227&lt;519,0,R227-519)),2)+M227</f>
        <v>1709.65</v>
      </c>
      <c r="U227" s="81">
        <f t="shared" ref="U227" si="366">S227+T227</f>
        <v>1897.7</v>
      </c>
      <c r="V227" s="81"/>
      <c r="W227" s="81"/>
      <c r="X227" s="81">
        <v>0</v>
      </c>
      <c r="Y227" s="84">
        <f t="shared" ref="Y227" si="367">IF(N227&gt;0.01,(T227-VLOOKUP(T227,quincenal,1))*VLOOKUP(T227,quincenal,3)+VLOOKUP(T227,quincenal,2)-VLOOKUP(T227,subquincenal,2),0)</f>
        <v>-102.30023999999997</v>
      </c>
      <c r="Z227" s="81">
        <v>0</v>
      </c>
      <c r="AA227" s="85">
        <f t="shared" ref="AA227" si="368">TRUNC(IF(Y227&lt;0.01,-Y227,0),2)</f>
        <v>102.3</v>
      </c>
      <c r="AB227" s="85">
        <f t="shared" ref="AB227" si="369">U227-W227-X227-Z227+AA227</f>
        <v>2000</v>
      </c>
      <c r="AC227" s="86"/>
      <c r="AD227" s="73"/>
      <c r="AE227" s="40">
        <v>137</v>
      </c>
      <c r="AG227" s="91"/>
    </row>
    <row r="228" spans="1:33" s="40" customFormat="1" ht="36" customHeight="1">
      <c r="A228" s="105"/>
      <c r="B228" s="71"/>
      <c r="C228" s="71"/>
      <c r="D228" s="64" t="s">
        <v>713</v>
      </c>
      <c r="E228" s="65"/>
      <c r="F228" s="65"/>
      <c r="G228" s="66"/>
      <c r="H228" s="103" t="s">
        <v>612</v>
      </c>
      <c r="I228" s="72">
        <v>15</v>
      </c>
      <c r="J228" s="72" t="s">
        <v>272</v>
      </c>
      <c r="K228" s="72"/>
      <c r="L228" s="73">
        <v>0</v>
      </c>
      <c r="M228" s="74">
        <v>0</v>
      </c>
      <c r="N228" s="80">
        <v>113.977</v>
      </c>
      <c r="O228" s="81">
        <f t="shared" si="349"/>
        <v>1709.65</v>
      </c>
      <c r="P228" s="82">
        <f t="shared" si="350"/>
        <v>68.38</v>
      </c>
      <c r="Q228" s="81">
        <f t="shared" si="351"/>
        <v>119.67</v>
      </c>
      <c r="R228" s="83">
        <f t="shared" si="352"/>
        <v>0</v>
      </c>
      <c r="S228" s="81">
        <f t="shared" si="353"/>
        <v>188.05</v>
      </c>
      <c r="T228" s="81">
        <f t="shared" si="354"/>
        <v>1709.65</v>
      </c>
      <c r="U228" s="81">
        <f t="shared" si="355"/>
        <v>1897.7</v>
      </c>
      <c r="V228" s="81"/>
      <c r="W228" s="81"/>
      <c r="X228" s="81">
        <v>0</v>
      </c>
      <c r="Y228" s="84">
        <f t="shared" si="356"/>
        <v>-102.30023999999997</v>
      </c>
      <c r="Z228" s="81">
        <v>0</v>
      </c>
      <c r="AA228" s="85">
        <f t="shared" si="358"/>
        <v>102.3</v>
      </c>
      <c r="AB228" s="85">
        <f t="shared" si="359"/>
        <v>2000</v>
      </c>
      <c r="AC228" s="86"/>
      <c r="AD228" s="73"/>
      <c r="AE228" s="40">
        <v>138</v>
      </c>
      <c r="AG228" s="91"/>
    </row>
    <row r="229" spans="1:33" s="40" customFormat="1" ht="36" customHeight="1">
      <c r="A229" s="105"/>
      <c r="B229" s="188"/>
      <c r="C229" s="188"/>
      <c r="D229" s="64" t="s">
        <v>332</v>
      </c>
      <c r="E229" s="65"/>
      <c r="F229" s="65"/>
      <c r="G229" s="66"/>
      <c r="H229" s="67" t="s">
        <v>330</v>
      </c>
      <c r="I229" s="132">
        <v>15</v>
      </c>
      <c r="J229" s="132" t="s">
        <v>272</v>
      </c>
      <c r="K229" s="132"/>
      <c r="L229" s="138">
        <v>0</v>
      </c>
      <c r="M229" s="139">
        <v>0</v>
      </c>
      <c r="N229" s="80">
        <f t="shared" ref="N229" si="370">2222/15</f>
        <v>148.13333333333333</v>
      </c>
      <c r="O229" s="83">
        <f t="shared" si="349"/>
        <v>2222</v>
      </c>
      <c r="P229" s="141">
        <f t="shared" si="350"/>
        <v>88.88</v>
      </c>
      <c r="Q229" s="83">
        <f t="shared" si="351"/>
        <v>155.54</v>
      </c>
      <c r="R229" s="83">
        <f t="shared" si="352"/>
        <v>0</v>
      </c>
      <c r="S229" s="83">
        <f t="shared" si="353"/>
        <v>244.42</v>
      </c>
      <c r="T229" s="83">
        <f t="shared" si="354"/>
        <v>2222</v>
      </c>
      <c r="U229" s="83">
        <f t="shared" si="355"/>
        <v>2466.42</v>
      </c>
      <c r="V229" s="83"/>
      <c r="W229" s="83">
        <v>0</v>
      </c>
      <c r="X229" s="83">
        <v>0</v>
      </c>
      <c r="Y229" s="84">
        <f t="shared" si="356"/>
        <v>-37.079488000000026</v>
      </c>
      <c r="Z229" s="83">
        <f t="shared" ref="Z229" si="371">TRUNC(IF(Y229&gt;0.01,Y229,0),2)</f>
        <v>0</v>
      </c>
      <c r="AA229" s="142">
        <f t="shared" si="358"/>
        <v>37.07</v>
      </c>
      <c r="AB229" s="142">
        <f t="shared" si="359"/>
        <v>2503.4900000000002</v>
      </c>
      <c r="AC229" s="86"/>
      <c r="AD229" s="73"/>
      <c r="AE229" s="40">
        <v>139</v>
      </c>
      <c r="AG229" s="91"/>
    </row>
    <row r="230" spans="1:33" s="40" customFormat="1" ht="36" customHeight="1">
      <c r="A230" s="105"/>
      <c r="B230" s="188"/>
      <c r="C230" s="188"/>
      <c r="D230" s="64" t="s">
        <v>318</v>
      </c>
      <c r="E230" s="65"/>
      <c r="F230" s="65"/>
      <c r="G230" s="66"/>
      <c r="H230" s="103" t="s">
        <v>529</v>
      </c>
      <c r="I230" s="132">
        <v>15</v>
      </c>
      <c r="J230" s="132" t="s">
        <v>272</v>
      </c>
      <c r="K230" s="132"/>
      <c r="L230" s="138">
        <v>0</v>
      </c>
      <c r="M230" s="139">
        <v>0</v>
      </c>
      <c r="N230" s="80">
        <f t="shared" ref="N230" si="372">1989/15</f>
        <v>132.6</v>
      </c>
      <c r="O230" s="83">
        <f t="shared" si="349"/>
        <v>1989</v>
      </c>
      <c r="P230" s="141">
        <f t="shared" si="350"/>
        <v>79.56</v>
      </c>
      <c r="Q230" s="83">
        <f t="shared" si="351"/>
        <v>139.22999999999999</v>
      </c>
      <c r="R230" s="83">
        <f t="shared" si="352"/>
        <v>0</v>
      </c>
      <c r="S230" s="83">
        <f t="shared" si="353"/>
        <v>218.79</v>
      </c>
      <c r="T230" s="83">
        <f t="shared" si="354"/>
        <v>1989</v>
      </c>
      <c r="U230" s="83">
        <f t="shared" si="355"/>
        <v>2207.79</v>
      </c>
      <c r="V230" s="83"/>
      <c r="W230" s="83"/>
      <c r="X230" s="83">
        <v>0</v>
      </c>
      <c r="Y230" s="84">
        <f t="shared" ref="Y230:Y232" si="373">IF(N230&gt;0.01,(T230-VLOOKUP(T230,quincenal,1))*VLOOKUP(T230,quincenal,3)+VLOOKUP(T230,quincenal,2)-VLOOKUP(T230,subquincenal,2),0)</f>
        <v>-72.421839999999975</v>
      </c>
      <c r="Z230" s="83">
        <v>0</v>
      </c>
      <c r="AA230" s="142">
        <f t="shared" si="358"/>
        <v>72.42</v>
      </c>
      <c r="AB230" s="142">
        <f t="shared" si="359"/>
        <v>2280.21</v>
      </c>
      <c r="AC230" s="143"/>
      <c r="AD230" s="138"/>
      <c r="AE230" s="40">
        <v>140</v>
      </c>
      <c r="AG230" s="91"/>
    </row>
    <row r="231" spans="1:33" s="40" customFormat="1" ht="36" customHeight="1">
      <c r="A231" s="105"/>
      <c r="B231" s="188"/>
      <c r="C231" s="188"/>
      <c r="D231" s="64" t="s">
        <v>731</v>
      </c>
      <c r="E231" s="65"/>
      <c r="F231" s="65"/>
      <c r="G231" s="66"/>
      <c r="H231" s="103" t="s">
        <v>732</v>
      </c>
      <c r="I231" s="132">
        <v>7</v>
      </c>
      <c r="J231" s="132" t="s">
        <v>272</v>
      </c>
      <c r="K231" s="132"/>
      <c r="L231" s="73">
        <v>0</v>
      </c>
      <c r="M231" s="74">
        <v>0</v>
      </c>
      <c r="N231" s="80">
        <v>113.977</v>
      </c>
      <c r="O231" s="81">
        <f t="shared" si="349"/>
        <v>797.83</v>
      </c>
      <c r="P231" s="82">
        <f t="shared" si="350"/>
        <v>31.91</v>
      </c>
      <c r="Q231" s="81">
        <f t="shared" si="351"/>
        <v>55.84</v>
      </c>
      <c r="R231" s="83">
        <f t="shared" si="352"/>
        <v>0</v>
      </c>
      <c r="S231" s="81">
        <f t="shared" si="353"/>
        <v>87.75</v>
      </c>
      <c r="T231" s="81">
        <f t="shared" si="354"/>
        <v>797.83</v>
      </c>
      <c r="U231" s="81">
        <f t="shared" si="355"/>
        <v>885.58</v>
      </c>
      <c r="V231" s="81"/>
      <c r="W231" s="81"/>
      <c r="X231" s="81">
        <v>0</v>
      </c>
      <c r="Y231" s="84">
        <f t="shared" si="373"/>
        <v>-160.80671999999998</v>
      </c>
      <c r="Z231" s="81">
        <v>0</v>
      </c>
      <c r="AA231" s="85">
        <f t="shared" si="358"/>
        <v>160.80000000000001</v>
      </c>
      <c r="AB231" s="85">
        <f t="shared" si="359"/>
        <v>1046.3800000000001</v>
      </c>
      <c r="AC231" s="143"/>
      <c r="AD231" s="138"/>
      <c r="AG231" s="91"/>
    </row>
    <row r="232" spans="1:33" s="40" customFormat="1" ht="36" customHeight="1">
      <c r="A232" s="105"/>
      <c r="B232" s="188"/>
      <c r="C232" s="188"/>
      <c r="D232" s="64" t="s">
        <v>250</v>
      </c>
      <c r="E232" s="147" t="s">
        <v>467</v>
      </c>
      <c r="F232" s="147" t="s">
        <v>468</v>
      </c>
      <c r="G232" s="148">
        <v>39814</v>
      </c>
      <c r="H232" s="103" t="s">
        <v>530</v>
      </c>
      <c r="I232" s="132">
        <v>15</v>
      </c>
      <c r="J232" s="132" t="s">
        <v>272</v>
      </c>
      <c r="K232" s="132"/>
      <c r="L232" s="138">
        <v>0</v>
      </c>
      <c r="M232" s="139">
        <v>0</v>
      </c>
      <c r="N232" s="80">
        <f>2106/15</f>
        <v>140.4</v>
      </c>
      <c r="O232" s="83">
        <f t="shared" si="349"/>
        <v>2106</v>
      </c>
      <c r="P232" s="141">
        <f t="shared" si="350"/>
        <v>84.24</v>
      </c>
      <c r="Q232" s="83">
        <f t="shared" si="351"/>
        <v>147.41999999999999</v>
      </c>
      <c r="R232" s="83">
        <f t="shared" si="352"/>
        <v>0</v>
      </c>
      <c r="S232" s="83">
        <f t="shared" si="353"/>
        <v>231.66</v>
      </c>
      <c r="T232" s="83">
        <f t="shared" si="354"/>
        <v>2106</v>
      </c>
      <c r="U232" s="83">
        <f t="shared" si="355"/>
        <v>2337.66</v>
      </c>
      <c r="V232" s="83"/>
      <c r="W232" s="83"/>
      <c r="X232" s="83">
        <v>0</v>
      </c>
      <c r="Y232" s="84">
        <f t="shared" si="373"/>
        <v>-63.650288000000003</v>
      </c>
      <c r="Z232" s="83">
        <f t="shared" ref="Z232" si="374">TRUNC(IF(Y232&gt;0.01,Y232,0),2)</f>
        <v>0</v>
      </c>
      <c r="AA232" s="142">
        <f t="shared" si="358"/>
        <v>63.65</v>
      </c>
      <c r="AB232" s="142">
        <f t="shared" si="359"/>
        <v>2401.31</v>
      </c>
      <c r="AC232" s="143">
        <f>[2]PORTADA!$D$10</f>
        <v>1</v>
      </c>
      <c r="AD232" s="138"/>
      <c r="AE232" s="40">
        <v>141</v>
      </c>
      <c r="AG232" s="91"/>
    </row>
    <row r="233" spans="1:33" s="40" customFormat="1" ht="12.75">
      <c r="A233" s="105"/>
      <c r="B233" s="180"/>
      <c r="C233" s="180"/>
      <c r="D233" s="95" t="s">
        <v>303</v>
      </c>
      <c r="E233" s="43"/>
      <c r="F233" s="43"/>
      <c r="G233" s="44"/>
      <c r="H233" s="96"/>
      <c r="I233" s="51"/>
      <c r="J233" s="51"/>
      <c r="K233" s="51"/>
      <c r="L233" s="52"/>
      <c r="M233" s="53"/>
      <c r="N233" s="97"/>
      <c r="O233" s="98">
        <f>SUM(O225:O232)</f>
        <v>14462.3</v>
      </c>
      <c r="P233" s="98">
        <f t="shared" ref="P233:AB233" si="375">SUM(P225:P232)</f>
        <v>578.47</v>
      </c>
      <c r="Q233" s="98">
        <f t="shared" si="375"/>
        <v>1012.3299999999999</v>
      </c>
      <c r="R233" s="98">
        <f t="shared" si="375"/>
        <v>0</v>
      </c>
      <c r="S233" s="98">
        <f t="shared" si="375"/>
        <v>1590.8000000000002</v>
      </c>
      <c r="T233" s="98">
        <f t="shared" si="375"/>
        <v>14462.3</v>
      </c>
      <c r="U233" s="98">
        <f t="shared" si="375"/>
        <v>16053.1</v>
      </c>
      <c r="V233" s="98">
        <f t="shared" si="375"/>
        <v>0</v>
      </c>
      <c r="W233" s="98">
        <f t="shared" si="375"/>
        <v>0</v>
      </c>
      <c r="X233" s="98">
        <f t="shared" si="375"/>
        <v>0</v>
      </c>
      <c r="Y233" s="98">
        <f t="shared" si="375"/>
        <v>-678.31716800000004</v>
      </c>
      <c r="Z233" s="98">
        <f t="shared" si="375"/>
        <v>0</v>
      </c>
      <c r="AA233" s="98">
        <f t="shared" si="375"/>
        <v>678.29000000000008</v>
      </c>
      <c r="AB233" s="98">
        <f t="shared" si="375"/>
        <v>16731.390000000003</v>
      </c>
      <c r="AC233" s="99"/>
      <c r="AD233" s="52"/>
    </row>
    <row r="234" spans="1:33" s="40" customFormat="1">
      <c r="A234" s="105"/>
      <c r="B234" s="180"/>
      <c r="C234" s="180"/>
      <c r="D234" s="127"/>
      <c r="E234" s="43"/>
      <c r="F234" s="43"/>
      <c r="G234" s="44"/>
      <c r="H234" s="96"/>
      <c r="I234" s="51"/>
      <c r="J234" s="51"/>
      <c r="K234" s="51"/>
      <c r="L234" s="52"/>
      <c r="M234" s="53"/>
      <c r="N234" s="97"/>
      <c r="O234" s="88"/>
      <c r="P234" s="181"/>
      <c r="Q234" s="88"/>
      <c r="R234" s="146"/>
      <c r="S234" s="88"/>
      <c r="T234" s="88"/>
      <c r="U234" s="88"/>
      <c r="V234" s="88"/>
      <c r="W234" s="88"/>
      <c r="X234" s="88"/>
      <c r="Y234" s="91"/>
      <c r="Z234" s="88"/>
      <c r="AA234" s="224"/>
      <c r="AB234" s="182"/>
      <c r="AC234" s="99"/>
      <c r="AD234" s="52"/>
    </row>
    <row r="235" spans="1:33" s="40" customFormat="1" ht="12.75">
      <c r="A235" s="105"/>
      <c r="B235" s="197"/>
      <c r="C235" s="180"/>
      <c r="D235" s="95" t="s">
        <v>304</v>
      </c>
      <c r="E235" s="43"/>
      <c r="F235" s="43"/>
      <c r="G235" s="44"/>
      <c r="H235" s="96"/>
      <c r="I235" s="51"/>
      <c r="J235" s="51"/>
      <c r="K235" s="51"/>
      <c r="L235" s="52"/>
      <c r="M235" s="53"/>
      <c r="N235" s="97"/>
      <c r="O235" s="88"/>
      <c r="P235" s="181"/>
      <c r="Q235" s="88"/>
      <c r="R235" s="146"/>
      <c r="S235" s="88"/>
      <c r="T235" s="88"/>
      <c r="U235" s="88"/>
      <c r="V235" s="88"/>
      <c r="W235" s="88"/>
      <c r="X235" s="88"/>
      <c r="Y235" s="91"/>
      <c r="Z235" s="88"/>
      <c r="AA235" s="182"/>
      <c r="AB235" s="182"/>
      <c r="AC235" s="99"/>
      <c r="AD235" s="52"/>
    </row>
    <row r="236" spans="1:33" s="40" customFormat="1" ht="36" customHeight="1">
      <c r="A236" s="105"/>
      <c r="B236" s="197"/>
      <c r="C236" s="180"/>
      <c r="D236" s="64" t="s">
        <v>117</v>
      </c>
      <c r="E236" s="147" t="s">
        <v>200</v>
      </c>
      <c r="F236" s="147" t="s">
        <v>233</v>
      </c>
      <c r="G236" s="148">
        <v>37987</v>
      </c>
      <c r="H236" s="107" t="s">
        <v>118</v>
      </c>
      <c r="I236" s="132">
        <v>15</v>
      </c>
      <c r="J236" s="132" t="s">
        <v>272</v>
      </c>
      <c r="K236" s="132"/>
      <c r="L236" s="138">
        <v>0</v>
      </c>
      <c r="M236" s="139">
        <v>0</v>
      </c>
      <c r="N236" s="80">
        <f>3634/15</f>
        <v>242.26666666666668</v>
      </c>
      <c r="O236" s="83">
        <f>TRUNC(N236*I236,2)</f>
        <v>3634</v>
      </c>
      <c r="P236" s="141">
        <f>TRUNC(N236*I236*0.04,2)</f>
        <v>145.36000000000001</v>
      </c>
      <c r="Q236" s="83">
        <f>TRUNC(N236*0.07*I236,2)</f>
        <v>254.38</v>
      </c>
      <c r="R236" s="83">
        <f>L236</f>
        <v>0</v>
      </c>
      <c r="S236" s="83">
        <f>TRUNC(Q236+P236+(IF(R236&gt;519,519,R236))+IF(K236=0,0,K236*N236),2)</f>
        <v>399.74</v>
      </c>
      <c r="T236" s="83">
        <f>TRUNC((IF(K236=0,I236*N236,(I236-K236)*N236))+(IF(R236&lt;519,0,R236-519)),2)+M236</f>
        <v>3634</v>
      </c>
      <c r="U236" s="83">
        <f>S236+T236</f>
        <v>4033.74</v>
      </c>
      <c r="V236" s="83"/>
      <c r="W236" s="83"/>
      <c r="X236" s="83">
        <v>0</v>
      </c>
      <c r="Y236" s="84">
        <f>IF(N236&gt;0.01,(T236-VLOOKUP(T236,quincenal,1))*VLOOKUP(T236,quincenal,3)+VLOOKUP(T236,quincenal,2)-VLOOKUP(T236,subquincenal,2),0)</f>
        <v>183.89611199999999</v>
      </c>
      <c r="Z236" s="83">
        <f>TRUNC(IF(Y236&gt;0.01,Y236,0),2)</f>
        <v>183.89</v>
      </c>
      <c r="AA236" s="142">
        <f>TRUNC(IF(Y236&lt;0.01,-Y236,0),2)</f>
        <v>0</v>
      </c>
      <c r="AB236" s="142">
        <f>U236-W236-X236-Z236+AA236</f>
        <v>3849.85</v>
      </c>
      <c r="AC236" s="143">
        <f>[2]PORTADA!$D$10</f>
        <v>1</v>
      </c>
      <c r="AD236" s="138"/>
      <c r="AE236" s="40">
        <v>142</v>
      </c>
    </row>
    <row r="237" spans="1:33" s="40" customFormat="1" ht="36" customHeight="1">
      <c r="A237" s="105"/>
      <c r="B237" s="197"/>
      <c r="C237" s="180"/>
      <c r="D237" s="64" t="s">
        <v>680</v>
      </c>
      <c r="E237" s="147" t="s">
        <v>200</v>
      </c>
      <c r="F237" s="147" t="s">
        <v>233</v>
      </c>
      <c r="G237" s="148">
        <v>37987</v>
      </c>
      <c r="H237" s="107" t="s">
        <v>681</v>
      </c>
      <c r="I237" s="72">
        <v>15</v>
      </c>
      <c r="J237" s="72" t="s">
        <v>272</v>
      </c>
      <c r="K237" s="72"/>
      <c r="L237" s="73">
        <v>0</v>
      </c>
      <c r="M237" s="74">
        <v>0</v>
      </c>
      <c r="N237" s="80">
        <v>260.28699999999998</v>
      </c>
      <c r="O237" s="81">
        <f t="shared" ref="O237:O238" si="376">TRUNC(N237*I237,2)</f>
        <v>3904.3</v>
      </c>
      <c r="P237" s="82">
        <f t="shared" ref="P237:P238" si="377">TRUNC(N237*I237*0.04,2)</f>
        <v>156.16999999999999</v>
      </c>
      <c r="Q237" s="81">
        <f t="shared" ref="Q237:Q238" si="378">TRUNC(N237*0.07*I237,2)</f>
        <v>273.3</v>
      </c>
      <c r="R237" s="83">
        <f t="shared" ref="R237:R238" si="379">L237</f>
        <v>0</v>
      </c>
      <c r="S237" s="81">
        <f t="shared" ref="S237:S238" si="380">TRUNC(Q237+P237+(IF(R237&gt;519,519,R237))+IF(K237=0,0,K237*N237),2)</f>
        <v>429.47</v>
      </c>
      <c r="T237" s="81">
        <f t="shared" ref="T237:T238" si="381">TRUNC((IF(K237=0,I237*N237,(I237-K237)*N237))+(IF(R237&lt;519,0,R237-519)),2)+M237</f>
        <v>3904.3</v>
      </c>
      <c r="U237" s="81">
        <f t="shared" ref="U237:U238" si="382">S237+T237</f>
        <v>4333.7700000000004</v>
      </c>
      <c r="V237" s="81"/>
      <c r="W237" s="81"/>
      <c r="X237" s="81">
        <v>0</v>
      </c>
      <c r="Y237" s="84">
        <f>IF(N237&gt;0.01,(T237-VLOOKUP(T237,quincenal,1))*VLOOKUP(T237,quincenal,3)+VLOOKUP(T237,quincenal,2)-VLOOKUP(T237,subquincenal,2),0)</f>
        <v>333.77639999999997</v>
      </c>
      <c r="Z237" s="81">
        <f t="shared" ref="Z237:Z238" si="383">TRUNC(IF(Y237&gt;0.01,Y237,0),2)</f>
        <v>333.77</v>
      </c>
      <c r="AA237" s="85">
        <f t="shared" ref="AA237:AA238" si="384">TRUNC(IF(Y237&lt;0.01,-Y237,0),2)</f>
        <v>0</v>
      </c>
      <c r="AB237" s="85">
        <f t="shared" ref="AB237:AB238" si="385">U237-W237-X237-Z237+AA237</f>
        <v>4000.0000000000005</v>
      </c>
      <c r="AC237" s="99"/>
      <c r="AD237" s="73"/>
      <c r="AE237" s="40">
        <v>143</v>
      </c>
    </row>
    <row r="238" spans="1:33" s="40" customFormat="1" ht="36" customHeight="1">
      <c r="A238" s="105"/>
      <c r="B238" s="197"/>
      <c r="C238" s="180"/>
      <c r="D238" s="64" t="s">
        <v>683</v>
      </c>
      <c r="E238" s="147" t="s">
        <v>200</v>
      </c>
      <c r="F238" s="147" t="s">
        <v>233</v>
      </c>
      <c r="G238" s="148">
        <v>37987</v>
      </c>
      <c r="H238" s="107" t="s">
        <v>118</v>
      </c>
      <c r="I238" s="72">
        <v>15</v>
      </c>
      <c r="J238" s="72" t="s">
        <v>272</v>
      </c>
      <c r="K238" s="72"/>
      <c r="L238" s="73">
        <v>0</v>
      </c>
      <c r="M238" s="74">
        <v>0</v>
      </c>
      <c r="N238" s="80">
        <v>260.28699999999998</v>
      </c>
      <c r="O238" s="81">
        <f t="shared" si="376"/>
        <v>3904.3</v>
      </c>
      <c r="P238" s="82">
        <f t="shared" si="377"/>
        <v>156.16999999999999</v>
      </c>
      <c r="Q238" s="81">
        <f t="shared" si="378"/>
        <v>273.3</v>
      </c>
      <c r="R238" s="83">
        <f t="shared" si="379"/>
        <v>0</v>
      </c>
      <c r="S238" s="81">
        <f t="shared" si="380"/>
        <v>429.47</v>
      </c>
      <c r="T238" s="81">
        <f t="shared" si="381"/>
        <v>3904.3</v>
      </c>
      <c r="U238" s="81">
        <f t="shared" si="382"/>
        <v>4333.7700000000004</v>
      </c>
      <c r="V238" s="81"/>
      <c r="W238" s="81"/>
      <c r="X238" s="81">
        <v>0</v>
      </c>
      <c r="Y238" s="84">
        <f>IF(N238&gt;0.01,(T238-VLOOKUP(T238,quincenal,1))*VLOOKUP(T238,quincenal,3)+VLOOKUP(T238,quincenal,2)-VLOOKUP(T238,subquincenal,2),0)</f>
        <v>333.77639999999997</v>
      </c>
      <c r="Z238" s="81">
        <f t="shared" si="383"/>
        <v>333.77</v>
      </c>
      <c r="AA238" s="85">
        <f t="shared" si="384"/>
        <v>0</v>
      </c>
      <c r="AB238" s="85">
        <f t="shared" si="385"/>
        <v>4000.0000000000005</v>
      </c>
      <c r="AC238" s="99"/>
      <c r="AD238" s="73"/>
      <c r="AE238" s="40">
        <v>144</v>
      </c>
    </row>
    <row r="239" spans="1:33" s="40" customFormat="1" ht="12.75" customHeight="1">
      <c r="A239" s="105"/>
      <c r="B239" s="180"/>
      <c r="C239" s="180"/>
      <c r="D239" s="95" t="s">
        <v>304</v>
      </c>
      <c r="E239" s="43"/>
      <c r="F239" s="43"/>
      <c r="G239" s="44"/>
      <c r="H239" s="96"/>
      <c r="I239" s="51"/>
      <c r="J239" s="51"/>
      <c r="K239" s="51"/>
      <c r="L239" s="52"/>
      <c r="M239" s="53"/>
      <c r="N239" s="97"/>
      <c r="O239" s="90">
        <f t="shared" ref="O239:AD239" si="386">SUM(O236:O238)</f>
        <v>11442.6</v>
      </c>
      <c r="P239" s="90">
        <f t="shared" si="386"/>
        <v>457.69999999999993</v>
      </c>
      <c r="Q239" s="90">
        <f t="shared" si="386"/>
        <v>800.98</v>
      </c>
      <c r="R239" s="90">
        <f t="shared" si="386"/>
        <v>0</v>
      </c>
      <c r="S239" s="90">
        <f t="shared" si="386"/>
        <v>1258.68</v>
      </c>
      <c r="T239" s="90">
        <f t="shared" si="386"/>
        <v>11442.6</v>
      </c>
      <c r="U239" s="90">
        <f t="shared" si="386"/>
        <v>12701.28</v>
      </c>
      <c r="V239" s="90">
        <f t="shared" si="386"/>
        <v>0</v>
      </c>
      <c r="W239" s="90">
        <f t="shared" si="386"/>
        <v>0</v>
      </c>
      <c r="X239" s="90">
        <f t="shared" si="386"/>
        <v>0</v>
      </c>
      <c r="Y239" s="90">
        <f t="shared" si="386"/>
        <v>851.44891199999995</v>
      </c>
      <c r="Z239" s="90">
        <f t="shared" si="386"/>
        <v>851.43</v>
      </c>
      <c r="AA239" s="90">
        <f t="shared" si="386"/>
        <v>0</v>
      </c>
      <c r="AB239" s="90">
        <f t="shared" si="386"/>
        <v>11849.85</v>
      </c>
      <c r="AC239" s="90">
        <f t="shared" si="386"/>
        <v>1</v>
      </c>
      <c r="AD239" s="90">
        <f t="shared" si="386"/>
        <v>0</v>
      </c>
    </row>
    <row r="240" spans="1:33" s="40" customFormat="1" ht="12.75" customHeight="1">
      <c r="A240" s="105"/>
      <c r="B240" s="180"/>
      <c r="C240" s="180"/>
      <c r="D240" s="95"/>
      <c r="E240" s="43"/>
      <c r="F240" s="43"/>
      <c r="G240" s="44"/>
      <c r="H240" s="96"/>
      <c r="I240" s="51"/>
      <c r="J240" s="51"/>
      <c r="K240" s="51"/>
      <c r="L240" s="52"/>
      <c r="M240" s="53"/>
      <c r="N240" s="97"/>
      <c r="O240" s="88"/>
      <c r="P240" s="181"/>
      <c r="Q240" s="88"/>
      <c r="R240" s="146"/>
      <c r="S240" s="88"/>
      <c r="T240" s="88"/>
      <c r="U240" s="88"/>
      <c r="V240" s="88"/>
      <c r="W240" s="88"/>
      <c r="X240" s="88"/>
      <c r="Y240" s="91"/>
      <c r="Z240" s="88"/>
      <c r="AA240" s="182"/>
      <c r="AB240" s="182"/>
      <c r="AC240" s="99"/>
      <c r="AD240" s="52"/>
    </row>
    <row r="241" spans="1:33" s="40" customFormat="1" ht="12.75">
      <c r="A241" s="105"/>
      <c r="D241" s="95" t="s">
        <v>121</v>
      </c>
      <c r="E241" s="43"/>
      <c r="F241" s="43"/>
      <c r="G241" s="225"/>
      <c r="H241" s="96"/>
      <c r="I241" s="226"/>
      <c r="J241" s="226"/>
      <c r="W241" s="54"/>
      <c r="X241" s="54"/>
    </row>
    <row r="242" spans="1:33" s="40" customFormat="1" ht="36" customHeight="1">
      <c r="A242" s="105"/>
      <c r="D242" s="126" t="s">
        <v>367</v>
      </c>
      <c r="E242" s="65"/>
      <c r="F242" s="65"/>
      <c r="G242" s="66"/>
      <c r="H242" s="103" t="s">
        <v>531</v>
      </c>
      <c r="I242" s="132">
        <v>15</v>
      </c>
      <c r="J242" s="132" t="s">
        <v>272</v>
      </c>
      <c r="K242" s="132"/>
      <c r="L242" s="138">
        <v>0</v>
      </c>
      <c r="M242" s="139">
        <v>0</v>
      </c>
      <c r="N242" s="80">
        <f>2107/15</f>
        <v>140.46666666666667</v>
      </c>
      <c r="O242" s="83">
        <f>TRUNC(N242*I242,2)</f>
        <v>2107</v>
      </c>
      <c r="P242" s="141">
        <f>TRUNC(N242*I242*0.04,2)</f>
        <v>84.28</v>
      </c>
      <c r="Q242" s="83">
        <f>TRUNC(N242*0.07*I242,2)</f>
        <v>147.49</v>
      </c>
      <c r="R242" s="83">
        <f>L242</f>
        <v>0</v>
      </c>
      <c r="S242" s="83">
        <f>TRUNC(Q242+P242+(IF(R242&gt;519,519,R242))+IF(K242=0,0,K242*N242),2)</f>
        <v>231.77</v>
      </c>
      <c r="T242" s="83">
        <f>TRUNC((IF(K242=0,I242*N242,(I242-K242)*N242))+(IF(R242&lt;519,0,R242-519)),2)+M242</f>
        <v>2107</v>
      </c>
      <c r="U242" s="83">
        <f>S242+T242</f>
        <v>2338.77</v>
      </c>
      <c r="V242" s="83"/>
      <c r="W242" s="83"/>
      <c r="X242" s="83">
        <v>0</v>
      </c>
      <c r="Y242" s="84">
        <f>IF(N242&gt;0.01,(T242-VLOOKUP(T242,quincenal,1))*VLOOKUP(T242,quincenal,3)+VLOOKUP(T242,quincenal,2)-VLOOKUP(T242,subquincenal,2),0)</f>
        <v>-63.541488000000015</v>
      </c>
      <c r="Z242" s="83">
        <f>TRUNC(IF(Y242&gt;0.01,Y242,0),2)</f>
        <v>0</v>
      </c>
      <c r="AA242" s="142">
        <f>TRUNC(IF(Y242&lt;0.01,-Y242,0),2)</f>
        <v>63.54</v>
      </c>
      <c r="AB242" s="142">
        <f>U242-W242-X242-Z242+AA242</f>
        <v>2402.31</v>
      </c>
      <c r="AC242" s="143">
        <f>[2]PORTADA!$D$10</f>
        <v>1</v>
      </c>
      <c r="AD242" s="138"/>
      <c r="AE242" s="40">
        <v>145</v>
      </c>
    </row>
    <row r="243" spans="1:33" s="40" customFormat="1" ht="12.75">
      <c r="A243" s="105"/>
      <c r="D243" s="95" t="s">
        <v>121</v>
      </c>
      <c r="E243" s="43"/>
      <c r="F243" s="43"/>
      <c r="G243" s="225"/>
      <c r="H243" s="96"/>
      <c r="I243" s="226"/>
      <c r="J243" s="226"/>
      <c r="O243" s="98">
        <f>SUM(O242)</f>
        <v>2107</v>
      </c>
      <c r="P243" s="98">
        <f t="shared" ref="P243:AD243" si="387">SUM(P242)</f>
        <v>84.28</v>
      </c>
      <c r="Q243" s="98">
        <f t="shared" si="387"/>
        <v>147.49</v>
      </c>
      <c r="R243" s="98">
        <f t="shared" si="387"/>
        <v>0</v>
      </c>
      <c r="S243" s="98">
        <f t="shared" si="387"/>
        <v>231.77</v>
      </c>
      <c r="T243" s="98">
        <f t="shared" si="387"/>
        <v>2107</v>
      </c>
      <c r="U243" s="98">
        <f t="shared" si="387"/>
        <v>2338.77</v>
      </c>
      <c r="V243" s="98">
        <f t="shared" si="387"/>
        <v>0</v>
      </c>
      <c r="W243" s="98">
        <f t="shared" si="387"/>
        <v>0</v>
      </c>
      <c r="X243" s="98">
        <f t="shared" si="387"/>
        <v>0</v>
      </c>
      <c r="Y243" s="98">
        <f t="shared" si="387"/>
        <v>-63.541488000000015</v>
      </c>
      <c r="Z243" s="98">
        <f t="shared" si="387"/>
        <v>0</v>
      </c>
      <c r="AA243" s="98">
        <f t="shared" si="387"/>
        <v>63.54</v>
      </c>
      <c r="AB243" s="98">
        <f t="shared" si="387"/>
        <v>2402.31</v>
      </c>
      <c r="AC243" s="98">
        <f t="shared" si="387"/>
        <v>1</v>
      </c>
      <c r="AD243" s="98">
        <f t="shared" si="387"/>
        <v>0</v>
      </c>
    </row>
    <row r="244" spans="1:33" s="40" customFormat="1">
      <c r="A244" s="105"/>
      <c r="B244" s="180"/>
      <c r="C244" s="180"/>
      <c r="D244" s="127"/>
      <c r="E244" s="43"/>
      <c r="F244" s="43"/>
      <c r="G244" s="44"/>
      <c r="H244" s="96"/>
      <c r="I244" s="51"/>
      <c r="J244" s="51"/>
      <c r="K244" s="51"/>
      <c r="L244" s="52"/>
      <c r="M244" s="53"/>
      <c r="N244" s="97"/>
      <c r="O244" s="88"/>
      <c r="P244" s="181"/>
      <c r="Q244" s="88"/>
      <c r="R244" s="146"/>
      <c r="S244" s="88"/>
      <c r="T244" s="88"/>
      <c r="U244" s="88"/>
      <c r="V244" s="88"/>
      <c r="W244" s="88"/>
      <c r="X244" s="88"/>
      <c r="Y244" s="91"/>
      <c r="Z244" s="88"/>
      <c r="AA244" s="182"/>
      <c r="AB244" s="182"/>
      <c r="AC244" s="99"/>
      <c r="AD244" s="52"/>
    </row>
    <row r="245" spans="1:33" s="40" customFormat="1" ht="12.75">
      <c r="A245" s="105"/>
      <c r="B245" s="180"/>
      <c r="C245" s="180"/>
      <c r="D245" s="95" t="s">
        <v>305</v>
      </c>
      <c r="E245" s="43"/>
      <c r="F245" s="43"/>
      <c r="G245" s="44"/>
      <c r="H245" s="96"/>
      <c r="I245" s="51"/>
      <c r="J245" s="51"/>
      <c r="K245" s="51"/>
      <c r="L245" s="52"/>
      <c r="M245" s="53"/>
      <c r="N245" s="97"/>
      <c r="O245" s="88"/>
      <c r="P245" s="181"/>
      <c r="Q245" s="88"/>
      <c r="R245" s="146"/>
      <c r="S245" s="88"/>
      <c r="T245" s="88"/>
      <c r="U245" s="88"/>
      <c r="V245" s="88"/>
      <c r="W245" s="88"/>
      <c r="X245" s="88"/>
      <c r="Y245" s="91"/>
      <c r="Z245" s="88"/>
      <c r="AA245" s="182"/>
      <c r="AB245" s="182"/>
      <c r="AC245" s="99"/>
      <c r="AD245" s="52"/>
    </row>
    <row r="246" spans="1:33" s="40" customFormat="1" ht="36" customHeight="1">
      <c r="A246" s="105">
        <v>129</v>
      </c>
      <c r="B246" s="227">
        <v>1</v>
      </c>
      <c r="C246" s="227">
        <v>19</v>
      </c>
      <c r="D246" s="128" t="s">
        <v>598</v>
      </c>
      <c r="E246" s="147" t="s">
        <v>421</v>
      </c>
      <c r="F246" s="147" t="s">
        <v>422</v>
      </c>
      <c r="G246" s="228"/>
      <c r="H246" s="215" t="s">
        <v>532</v>
      </c>
      <c r="I246" s="229">
        <v>15</v>
      </c>
      <c r="J246" s="230" t="s">
        <v>272</v>
      </c>
      <c r="K246" s="227"/>
      <c r="L246" s="227">
        <v>0</v>
      </c>
      <c r="M246" s="227">
        <v>0</v>
      </c>
      <c r="N246" s="80">
        <v>405.53410000000002</v>
      </c>
      <c r="O246" s="81">
        <f>TRUNC(N246*I246,2)</f>
        <v>6083.01</v>
      </c>
      <c r="P246" s="82">
        <f>TRUNC(N246*I246*0.04,2)</f>
        <v>243.32</v>
      </c>
      <c r="Q246" s="81">
        <f>TRUNC(N246*0.07*I246,2)</f>
        <v>425.81</v>
      </c>
      <c r="R246" s="83">
        <f>L246</f>
        <v>0</v>
      </c>
      <c r="S246" s="81">
        <f>TRUNC(Q246+P246+(IF(R246&gt;519,519,R246))+IF(K246=0,0,K246*N246),2)</f>
        <v>669.13</v>
      </c>
      <c r="T246" s="81">
        <f>TRUNC((IF(K246=0,I246*N246,(I246-K246)*N246))+(IF(R246&lt;519,0,R246-519)),2)+M246</f>
        <v>6083.01</v>
      </c>
      <c r="U246" s="81">
        <f>S246+T246</f>
        <v>6752.14</v>
      </c>
      <c r="V246" s="81"/>
      <c r="W246" s="81"/>
      <c r="X246" s="81">
        <v>0</v>
      </c>
      <c r="Y246" s="84">
        <f>IF(N246&gt;0.01,(T246-VLOOKUP(T246,quincenal,1))*VLOOKUP(T246,quincenal,3)+VLOOKUP(T246,quincenal,2)-VLOOKUP(T246,subquincenal,2),0)</f>
        <v>752.1417600000002</v>
      </c>
      <c r="Z246" s="81">
        <f>TRUNC(IF(Y246&gt;0.01,Y246,0),2)</f>
        <v>752.14</v>
      </c>
      <c r="AA246" s="85">
        <f>TRUNC(IF(Y246&lt;0.01,-Y246,0),2)</f>
        <v>0</v>
      </c>
      <c r="AB246" s="85">
        <f>U246-W246-X246-Z246+AA246</f>
        <v>6000</v>
      </c>
      <c r="AC246" s="231"/>
      <c r="AD246" s="232"/>
      <c r="AE246" s="40">
        <v>146</v>
      </c>
      <c r="AG246" s="91"/>
    </row>
    <row r="247" spans="1:33" s="40" customFormat="1" ht="36" customHeight="1">
      <c r="A247" s="105"/>
      <c r="B247" s="227"/>
      <c r="C247" s="227"/>
      <c r="D247" s="64" t="s">
        <v>615</v>
      </c>
      <c r="E247" s="147" t="s">
        <v>419</v>
      </c>
      <c r="F247" s="147" t="s">
        <v>420</v>
      </c>
      <c r="G247" s="184"/>
      <c r="H247" s="103" t="s">
        <v>616</v>
      </c>
      <c r="I247" s="72">
        <v>15</v>
      </c>
      <c r="J247" s="72" t="s">
        <v>272</v>
      </c>
      <c r="K247" s="72"/>
      <c r="L247" s="73">
        <v>0</v>
      </c>
      <c r="M247" s="74">
        <v>0</v>
      </c>
      <c r="N247" s="80">
        <v>183.15199999999999</v>
      </c>
      <c r="O247" s="81">
        <f>TRUNC(N247*I247,2)</f>
        <v>2747.28</v>
      </c>
      <c r="P247" s="82">
        <f>TRUNC(N247*I247*0.04,2)</f>
        <v>109.89</v>
      </c>
      <c r="Q247" s="81">
        <f>TRUNC(N247*0.07*I247,2)</f>
        <v>192.3</v>
      </c>
      <c r="R247" s="83">
        <f>L247</f>
        <v>0</v>
      </c>
      <c r="S247" s="81">
        <f>TRUNC(Q247+P247+(IF(R247&gt;519,519,R247))+IF(K247=0,0,K247*N247),2)</f>
        <v>302.19</v>
      </c>
      <c r="T247" s="81">
        <f>TRUNC((IF(K247=0,I247*N247,(I247-K247)*N247))+(IF(R247&lt;519,0,R247-519)),2)+M247</f>
        <v>2747.28</v>
      </c>
      <c r="U247" s="81">
        <f>S247+T247</f>
        <v>3049.4700000000003</v>
      </c>
      <c r="V247" s="81"/>
      <c r="W247" s="81"/>
      <c r="X247" s="81">
        <v>0</v>
      </c>
      <c r="Y247" s="84">
        <f>IF(N247&gt;0.01,(T247-VLOOKUP(T247,quincenal,1))*VLOOKUP(T247,quincenal,3)+VLOOKUP(T247,quincenal,2)-VLOOKUP(T247,subquincenal,2),0)</f>
        <v>49.470976000000007</v>
      </c>
      <c r="Z247" s="81">
        <f>TRUNC(IF(Y247&gt;0.01,Y247,0),2)</f>
        <v>49.47</v>
      </c>
      <c r="AA247" s="85">
        <f>TRUNC(IF(Y247&lt;0.01,-Y247,0),2)</f>
        <v>0</v>
      </c>
      <c r="AB247" s="85">
        <f>U247-W247-X247-Z247+AA247</f>
        <v>3000.0000000000005</v>
      </c>
      <c r="AC247" s="86"/>
      <c r="AD247" s="73"/>
      <c r="AE247" s="40">
        <v>147</v>
      </c>
      <c r="AG247" s="91"/>
    </row>
    <row r="248" spans="1:33" s="40" customFormat="1" ht="36" customHeight="1">
      <c r="A248" s="198">
        <v>130</v>
      </c>
      <c r="B248" s="190"/>
      <c r="C248" s="190"/>
      <c r="D248" s="64" t="s">
        <v>606</v>
      </c>
      <c r="E248" s="147" t="s">
        <v>419</v>
      </c>
      <c r="F248" s="147" t="s">
        <v>420</v>
      </c>
      <c r="G248" s="184"/>
      <c r="H248" s="103" t="s">
        <v>607</v>
      </c>
      <c r="I248" s="185">
        <v>15</v>
      </c>
      <c r="J248" s="194" t="s">
        <v>272</v>
      </c>
      <c r="K248" s="190"/>
      <c r="L248" s="190">
        <v>0</v>
      </c>
      <c r="M248" s="190">
        <v>0</v>
      </c>
      <c r="N248" s="151">
        <v>147.9015</v>
      </c>
      <c r="O248" s="81">
        <f>TRUNC(N248*I248,2)</f>
        <v>2218.52</v>
      </c>
      <c r="P248" s="82">
        <f>TRUNC(N248*I248*0.04,2)</f>
        <v>88.74</v>
      </c>
      <c r="Q248" s="81">
        <f>TRUNC(N248*0.07*I248,2)</f>
        <v>155.29</v>
      </c>
      <c r="R248" s="83">
        <f>L248</f>
        <v>0</v>
      </c>
      <c r="S248" s="81">
        <f>TRUNC(Q248+P248+(IF(R248&gt;519,519,R248))+IF(K248=0,0,K248*N248),2)</f>
        <v>244.03</v>
      </c>
      <c r="T248" s="81">
        <f>TRUNC((IF(K248=0,I248*N248,(I248-K248)*N248))+(IF(R248&lt;519,0,R248-519)),2)+M248</f>
        <v>2218.52</v>
      </c>
      <c r="U248" s="81">
        <f>S248+T248</f>
        <v>2462.5500000000002</v>
      </c>
      <c r="V248" s="81"/>
      <c r="W248" s="81"/>
      <c r="X248" s="81">
        <v>0</v>
      </c>
      <c r="Y248" s="84">
        <f>IF(N248&gt;0.01,(T248-VLOOKUP(T248,quincenal,1))*VLOOKUP(T248,quincenal,3)+VLOOKUP(T248,quincenal,2)-VLOOKUP(T248,subquincenal,2),0)</f>
        <v>-37.458112000000028</v>
      </c>
      <c r="Z248" s="81">
        <f>TRUNC(IF(Y248&gt;0.01,Y248,0),2)</f>
        <v>0</v>
      </c>
      <c r="AA248" s="85">
        <f>TRUNC(IF(Y248&lt;0.01,-Y248,0),2)</f>
        <v>37.450000000000003</v>
      </c>
      <c r="AB248" s="85">
        <f>U248-W248-X248-Z248+AA248</f>
        <v>2500</v>
      </c>
      <c r="AC248" s="86"/>
      <c r="AD248" s="73"/>
      <c r="AE248" s="40">
        <v>148</v>
      </c>
      <c r="AG248" s="91"/>
    </row>
    <row r="249" spans="1:33" s="40" customFormat="1" ht="12.75">
      <c r="A249" s="105"/>
      <c r="D249" s="95" t="s">
        <v>305</v>
      </c>
      <c r="E249" s="43"/>
      <c r="F249" s="43"/>
      <c r="G249" s="225"/>
      <c r="H249" s="96"/>
      <c r="I249" s="226"/>
      <c r="J249" s="226"/>
      <c r="O249" s="98">
        <f t="shared" ref="O249:AB249" si="388">SUM(O246:O248)</f>
        <v>11048.810000000001</v>
      </c>
      <c r="P249" s="98">
        <f t="shared" si="388"/>
        <v>441.95</v>
      </c>
      <c r="Q249" s="98">
        <f t="shared" si="388"/>
        <v>773.4</v>
      </c>
      <c r="R249" s="98">
        <f t="shared" si="388"/>
        <v>0</v>
      </c>
      <c r="S249" s="98">
        <f t="shared" si="388"/>
        <v>1215.3499999999999</v>
      </c>
      <c r="T249" s="98">
        <f t="shared" si="388"/>
        <v>11048.810000000001</v>
      </c>
      <c r="U249" s="98">
        <f t="shared" si="388"/>
        <v>12264.16</v>
      </c>
      <c r="V249" s="98">
        <f t="shared" si="388"/>
        <v>0</v>
      </c>
      <c r="W249" s="98">
        <f t="shared" si="388"/>
        <v>0</v>
      </c>
      <c r="X249" s="98">
        <f t="shared" si="388"/>
        <v>0</v>
      </c>
      <c r="Y249" s="98">
        <f t="shared" si="388"/>
        <v>764.15462400000024</v>
      </c>
      <c r="Z249" s="98">
        <f t="shared" si="388"/>
        <v>801.61</v>
      </c>
      <c r="AA249" s="98">
        <f t="shared" si="388"/>
        <v>37.450000000000003</v>
      </c>
      <c r="AB249" s="98">
        <f t="shared" si="388"/>
        <v>11500</v>
      </c>
      <c r="AC249" s="99"/>
      <c r="AD249" s="52"/>
    </row>
    <row r="250" spans="1:33" s="40" customFormat="1">
      <c r="A250" s="105"/>
      <c r="D250" s="127"/>
      <c r="E250" s="43"/>
      <c r="F250" s="43"/>
      <c r="G250" s="225"/>
      <c r="H250" s="96"/>
      <c r="I250" s="226"/>
      <c r="J250" s="226"/>
      <c r="O250" s="88"/>
      <c r="P250" s="181"/>
      <c r="Q250" s="88"/>
      <c r="R250" s="146"/>
      <c r="S250" s="88"/>
      <c r="T250" s="88"/>
      <c r="U250" s="88"/>
      <c r="V250" s="88"/>
      <c r="W250" s="88"/>
      <c r="X250" s="88"/>
      <c r="Y250" s="91"/>
      <c r="Z250" s="88"/>
      <c r="AA250" s="182"/>
      <c r="AB250" s="182"/>
      <c r="AC250" s="99"/>
      <c r="AD250" s="52"/>
    </row>
    <row r="251" spans="1:33" s="40" customFormat="1">
      <c r="A251" s="105"/>
      <c r="D251" s="127"/>
      <c r="E251" s="43"/>
      <c r="F251" s="43"/>
      <c r="G251" s="225"/>
      <c r="H251" s="96"/>
      <c r="I251" s="226"/>
      <c r="J251" s="226"/>
      <c r="O251" s="88"/>
      <c r="P251" s="181"/>
      <c r="Q251" s="88"/>
      <c r="R251" s="146"/>
      <c r="S251" s="88"/>
      <c r="T251" s="88"/>
      <c r="U251" s="88"/>
      <c r="V251" s="88"/>
      <c r="W251" s="88"/>
      <c r="X251" s="88"/>
      <c r="Y251" s="91"/>
      <c r="Z251" s="88"/>
      <c r="AA251" s="182"/>
      <c r="AB251" s="182"/>
      <c r="AC251" s="99"/>
      <c r="AD251" s="52"/>
    </row>
    <row r="252" spans="1:33" s="40" customFormat="1" ht="12.75">
      <c r="A252" s="105"/>
      <c r="B252" s="180"/>
      <c r="C252" s="180"/>
      <c r="D252" s="95" t="s">
        <v>306</v>
      </c>
      <c r="E252" s="43"/>
      <c r="F252" s="43"/>
      <c r="G252" s="44"/>
      <c r="H252" s="96"/>
      <c r="I252" s="51"/>
      <c r="J252" s="51"/>
      <c r="K252" s="51"/>
      <c r="L252" s="52"/>
      <c r="M252" s="53"/>
      <c r="N252" s="97"/>
      <c r="O252" s="88"/>
      <c r="P252" s="181"/>
      <c r="Q252" s="88"/>
      <c r="R252" s="146"/>
      <c r="S252" s="88"/>
      <c r="T252" s="88"/>
      <c r="U252" s="88"/>
      <c r="V252" s="88"/>
      <c r="W252" s="88"/>
      <c r="X252" s="88"/>
      <c r="Y252" s="91"/>
      <c r="Z252" s="88"/>
      <c r="AA252" s="182"/>
      <c r="AB252" s="182"/>
      <c r="AC252" s="99"/>
      <c r="AD252" s="52"/>
    </row>
    <row r="253" spans="1:33" s="40" customFormat="1" ht="36" customHeight="1">
      <c r="A253" s="198">
        <v>131</v>
      </c>
      <c r="B253" s="71" t="s">
        <v>66</v>
      </c>
      <c r="C253" s="71" t="s">
        <v>16</v>
      </c>
      <c r="D253" s="64" t="s">
        <v>594</v>
      </c>
      <c r="E253" s="150" t="s">
        <v>385</v>
      </c>
      <c r="F253" s="65"/>
      <c r="G253" s="66"/>
      <c r="H253" s="107" t="s">
        <v>271</v>
      </c>
      <c r="I253" s="72">
        <v>15</v>
      </c>
      <c r="J253" s="72" t="s">
        <v>272</v>
      </c>
      <c r="K253" s="72"/>
      <c r="L253" s="73">
        <v>0</v>
      </c>
      <c r="M253" s="74">
        <v>0</v>
      </c>
      <c r="N253" s="80">
        <v>405.53410000000002</v>
      </c>
      <c r="O253" s="81">
        <f>TRUNC(N253*I253,2)</f>
        <v>6083.01</v>
      </c>
      <c r="P253" s="82">
        <f>TRUNC(N253*I253*0.04,2)</f>
        <v>243.32</v>
      </c>
      <c r="Q253" s="81">
        <f>TRUNC(N253*0.07*I253,2)</f>
        <v>425.81</v>
      </c>
      <c r="R253" s="83">
        <f>L253</f>
        <v>0</v>
      </c>
      <c r="S253" s="81">
        <f>TRUNC(Q253+P253+(IF(R253&gt;519,519,R253))+IF(K253=0,0,K253*N253),2)</f>
        <v>669.13</v>
      </c>
      <c r="T253" s="81">
        <f>TRUNC((IF(K253=0,I253*N253,(I253-K253)*N253))+(IF(R253&lt;519,0,R253-519)),2)+M253</f>
        <v>6083.01</v>
      </c>
      <c r="U253" s="81">
        <f>S253+T253</f>
        <v>6752.14</v>
      </c>
      <c r="V253" s="81"/>
      <c r="W253" s="81"/>
      <c r="X253" s="81">
        <v>0</v>
      </c>
      <c r="Y253" s="84">
        <f>IF(N253&gt;0.01,(T253-VLOOKUP(T253,quincenal,1))*VLOOKUP(T253,quincenal,3)+VLOOKUP(T253,quincenal,2)-VLOOKUP(T253,subquincenal,2),0)</f>
        <v>752.1417600000002</v>
      </c>
      <c r="Z253" s="81">
        <f>TRUNC(IF(Y253&gt;0.01,Y253,0),2)</f>
        <v>752.14</v>
      </c>
      <c r="AA253" s="85">
        <f>TRUNC(IF(Y253&lt;0.01,-Y253,0),2)</f>
        <v>0</v>
      </c>
      <c r="AB253" s="85">
        <f>U253-W253-X253-Z253+AA253</f>
        <v>6000</v>
      </c>
      <c r="AC253" s="86" t="e">
        <f>#REF!</f>
        <v>#REF!</v>
      </c>
      <c r="AD253" s="73"/>
      <c r="AE253" s="40">
        <v>149</v>
      </c>
      <c r="AG253" s="91"/>
    </row>
    <row r="254" spans="1:33" s="40" customFormat="1" ht="36" customHeight="1">
      <c r="A254" s="198">
        <v>132</v>
      </c>
      <c r="B254" s="71"/>
      <c r="C254" s="71"/>
      <c r="D254" s="64" t="s">
        <v>608</v>
      </c>
      <c r="E254" s="150" t="s">
        <v>387</v>
      </c>
      <c r="F254" s="65"/>
      <c r="G254" s="66"/>
      <c r="H254" s="103" t="s">
        <v>609</v>
      </c>
      <c r="I254" s="72">
        <v>15</v>
      </c>
      <c r="J254" s="72" t="s">
        <v>272</v>
      </c>
      <c r="K254" s="72"/>
      <c r="L254" s="73">
        <v>0</v>
      </c>
      <c r="M254" s="74">
        <v>0</v>
      </c>
      <c r="N254" s="80">
        <v>183.1515</v>
      </c>
      <c r="O254" s="81">
        <f>TRUNC(N254*I254,2)</f>
        <v>2747.27</v>
      </c>
      <c r="P254" s="82">
        <f>TRUNC(N254*I254*0.04,2)</f>
        <v>109.89</v>
      </c>
      <c r="Q254" s="81">
        <f>TRUNC(N254*0.07*I254,2)</f>
        <v>192.3</v>
      </c>
      <c r="R254" s="83">
        <f>L254</f>
        <v>0</v>
      </c>
      <c r="S254" s="81">
        <f>TRUNC(Q254+P254+(IF(R254&gt;519,519,R254))+IF(K254=0,0,K254*N254),2)</f>
        <v>302.19</v>
      </c>
      <c r="T254" s="81">
        <f>TRUNC((IF(K254=0,I254*N254,(I254-K254)*N254))+(IF(R254&lt;519,0,R254-519)),2)+M254</f>
        <v>2747.27</v>
      </c>
      <c r="U254" s="81">
        <f>S254+T254</f>
        <v>3049.46</v>
      </c>
      <c r="V254" s="81"/>
      <c r="W254" s="81"/>
      <c r="X254" s="81">
        <v>0</v>
      </c>
      <c r="Y254" s="84">
        <f>IF(N254&gt;0.01,(T254-VLOOKUP(T254,quincenal,1))*VLOOKUP(T254,quincenal,3)+VLOOKUP(T254,quincenal,2)-VLOOKUP(T254,subquincenal,2),0)</f>
        <v>49.469887999999997</v>
      </c>
      <c r="Z254" s="81">
        <f>TRUNC(IF(Y254&gt;0.01,Y254,0),2)</f>
        <v>49.46</v>
      </c>
      <c r="AA254" s="85">
        <f>TRUNC(IF(Y254&lt;0.01,-Y254,0),2)</f>
        <v>0</v>
      </c>
      <c r="AB254" s="85">
        <f>U254-W254-X254-Z254+AA254</f>
        <v>3000</v>
      </c>
      <c r="AC254" s="86" t="e">
        <f>#REF!</f>
        <v>#REF!</v>
      </c>
      <c r="AD254" s="73"/>
      <c r="AE254" s="40">
        <v>150</v>
      </c>
      <c r="AG254" s="91"/>
    </row>
    <row r="255" spans="1:33" s="40" customFormat="1" ht="12.75">
      <c r="A255" s="105"/>
      <c r="B255" s="180"/>
      <c r="C255" s="180"/>
      <c r="D255" s="95" t="s">
        <v>306</v>
      </c>
      <c r="E255" s="43"/>
      <c r="F255" s="43"/>
      <c r="G255" s="44"/>
      <c r="H255" s="96"/>
      <c r="I255" s="51"/>
      <c r="J255" s="51"/>
      <c r="K255" s="51"/>
      <c r="L255" s="52"/>
      <c r="M255" s="53"/>
      <c r="N255" s="97"/>
      <c r="O255" s="98">
        <f>SUM(O253:O254)</f>
        <v>8830.2800000000007</v>
      </c>
      <c r="P255" s="98">
        <f t="shared" ref="P255:AB255" si="389">SUM(P253:P254)</f>
        <v>353.21</v>
      </c>
      <c r="Q255" s="98">
        <f t="shared" si="389"/>
        <v>618.11</v>
      </c>
      <c r="R255" s="98">
        <f t="shared" si="389"/>
        <v>0</v>
      </c>
      <c r="S255" s="98">
        <f t="shared" si="389"/>
        <v>971.31999999999994</v>
      </c>
      <c r="T255" s="98">
        <f t="shared" si="389"/>
        <v>8830.2800000000007</v>
      </c>
      <c r="U255" s="98">
        <f t="shared" si="389"/>
        <v>9801.6</v>
      </c>
      <c r="V255" s="98">
        <f t="shared" si="389"/>
        <v>0</v>
      </c>
      <c r="W255" s="98">
        <f t="shared" si="389"/>
        <v>0</v>
      </c>
      <c r="X255" s="98">
        <f t="shared" si="389"/>
        <v>0</v>
      </c>
      <c r="Y255" s="98">
        <f t="shared" si="389"/>
        <v>801.61164800000017</v>
      </c>
      <c r="Z255" s="98">
        <f t="shared" si="389"/>
        <v>801.6</v>
      </c>
      <c r="AA255" s="98">
        <f t="shared" si="389"/>
        <v>0</v>
      </c>
      <c r="AB255" s="98">
        <f t="shared" si="389"/>
        <v>9000</v>
      </c>
      <c r="AC255" s="99"/>
      <c r="AD255" s="52"/>
    </row>
    <row r="256" spans="1:33" s="40" customFormat="1" ht="12.75">
      <c r="A256" s="105"/>
      <c r="B256" s="180"/>
      <c r="C256" s="180"/>
      <c r="D256" s="95"/>
      <c r="E256" s="43"/>
      <c r="F256" s="43"/>
      <c r="G256" s="44"/>
      <c r="H256" s="96"/>
      <c r="I256" s="51"/>
      <c r="J256" s="51"/>
      <c r="K256" s="51"/>
      <c r="L256" s="52"/>
      <c r="M256" s="53"/>
      <c r="N256" s="97"/>
      <c r="O256" s="98"/>
      <c r="P256" s="98"/>
      <c r="Q256" s="98"/>
      <c r="R256" s="98"/>
      <c r="S256" s="98"/>
      <c r="T256" s="98"/>
      <c r="U256" s="98"/>
      <c r="V256" s="98"/>
      <c r="W256" s="90"/>
      <c r="X256" s="90"/>
      <c r="Y256" s="98"/>
      <c r="Z256" s="98"/>
      <c r="AA256" s="98"/>
      <c r="AB256" s="98"/>
      <c r="AC256" s="99"/>
      <c r="AD256" s="52"/>
    </row>
    <row r="257" spans="1:33" s="40" customFormat="1" ht="12.75">
      <c r="A257" s="105"/>
      <c r="B257" s="180"/>
      <c r="C257" s="201"/>
      <c r="D257" s="95" t="s">
        <v>49</v>
      </c>
      <c r="E257" s="43"/>
      <c r="F257" s="43"/>
      <c r="G257" s="44"/>
      <c r="H257" s="96"/>
      <c r="I257" s="51"/>
      <c r="J257" s="51"/>
      <c r="K257" s="51"/>
      <c r="L257" s="52"/>
      <c r="M257" s="53"/>
      <c r="N257" s="97"/>
      <c r="O257" s="88"/>
      <c r="P257" s="181"/>
      <c r="Q257" s="88"/>
      <c r="R257" s="146"/>
      <c r="S257" s="88"/>
      <c r="T257" s="88"/>
      <c r="U257" s="88"/>
      <c r="V257" s="88"/>
      <c r="W257" s="88"/>
      <c r="X257" s="88"/>
      <c r="Y257" s="91"/>
      <c r="Z257" s="88"/>
      <c r="AA257" s="182"/>
      <c r="AB257" s="182"/>
      <c r="AC257" s="99"/>
      <c r="AD257" s="52"/>
    </row>
    <row r="258" spans="1:33" s="40" customFormat="1" ht="36" customHeight="1">
      <c r="A258" s="105">
        <v>133</v>
      </c>
      <c r="B258" s="71" t="s">
        <v>21</v>
      </c>
      <c r="C258" s="71" t="s">
        <v>16</v>
      </c>
      <c r="D258" s="64" t="s">
        <v>625</v>
      </c>
      <c r="E258" s="65"/>
      <c r="F258" s="65"/>
      <c r="G258" s="66"/>
      <c r="H258" s="103" t="s">
        <v>714</v>
      </c>
      <c r="I258" s="72">
        <v>15</v>
      </c>
      <c r="J258" s="72" t="s">
        <v>272</v>
      </c>
      <c r="K258" s="72"/>
      <c r="L258" s="73">
        <v>0</v>
      </c>
      <c r="M258" s="74">
        <v>0</v>
      </c>
      <c r="N258" s="80">
        <v>113.977</v>
      </c>
      <c r="O258" s="81">
        <f t="shared" ref="O258:O259" si="390">TRUNC(N258*I258,2)</f>
        <v>1709.65</v>
      </c>
      <c r="P258" s="82">
        <f t="shared" ref="P258:P259" si="391">TRUNC(N258*I258*0.04,2)</f>
        <v>68.38</v>
      </c>
      <c r="Q258" s="81">
        <f t="shared" ref="Q258:Q259" si="392">TRUNC(N258*0.07*I258,2)</f>
        <v>119.67</v>
      </c>
      <c r="R258" s="83">
        <f t="shared" ref="R258:R259" si="393">L258</f>
        <v>0</v>
      </c>
      <c r="S258" s="81">
        <f t="shared" ref="S258:S259" si="394">TRUNC(Q258+P258+(IF(R258&gt;519,519,R258))+IF(K258=0,0,K258*N258),2)</f>
        <v>188.05</v>
      </c>
      <c r="T258" s="81">
        <f t="shared" ref="T258:T259" si="395">TRUNC((IF(K258=0,I258*N258,(I258-K258)*N258))+(IF(R258&lt;519,0,R258-519)),2)+M258</f>
        <v>1709.65</v>
      </c>
      <c r="U258" s="81">
        <f t="shared" ref="U258:U259" si="396">S258+T258</f>
        <v>1897.7</v>
      </c>
      <c r="V258" s="81"/>
      <c r="W258" s="81"/>
      <c r="X258" s="81">
        <v>0</v>
      </c>
      <c r="Y258" s="84">
        <f t="shared" ref="Y258:Y259" si="397">IF(N258&gt;0.01,(T258-VLOOKUP(T258,quincenal,1))*VLOOKUP(T258,quincenal,3)+VLOOKUP(T258,quincenal,2)-VLOOKUP(T258,subquincenal,2),0)</f>
        <v>-102.30023999999997</v>
      </c>
      <c r="Z258" s="81">
        <v>0</v>
      </c>
      <c r="AA258" s="85">
        <f t="shared" ref="AA258:AA259" si="398">TRUNC(IF(Y258&lt;0.01,-Y258,0),2)</f>
        <v>102.3</v>
      </c>
      <c r="AB258" s="85">
        <f t="shared" ref="AB258:AB259" si="399">U258-W258-X258-Z258+AA258</f>
        <v>2000</v>
      </c>
      <c r="AC258" s="86" t="e">
        <f>#REF!</f>
        <v>#REF!</v>
      </c>
      <c r="AD258" s="73"/>
      <c r="AE258" s="40">
        <v>151</v>
      </c>
      <c r="AG258" s="91"/>
    </row>
    <row r="259" spans="1:33" s="40" customFormat="1" ht="36" customHeight="1">
      <c r="A259" s="105"/>
      <c r="B259" s="188"/>
      <c r="C259" s="188"/>
      <c r="D259" s="64" t="s">
        <v>559</v>
      </c>
      <c r="E259" s="65"/>
      <c r="F259" s="65"/>
      <c r="G259" s="66"/>
      <c r="H259" s="103" t="s">
        <v>725</v>
      </c>
      <c r="I259" s="132">
        <v>15</v>
      </c>
      <c r="J259" s="132" t="s">
        <v>272</v>
      </c>
      <c r="K259" s="132"/>
      <c r="L259" s="138">
        <v>0</v>
      </c>
      <c r="M259" s="139">
        <v>0</v>
      </c>
      <c r="N259" s="80">
        <v>126.06699999999999</v>
      </c>
      <c r="O259" s="83">
        <f t="shared" si="390"/>
        <v>1891</v>
      </c>
      <c r="P259" s="141">
        <f t="shared" si="391"/>
        <v>75.64</v>
      </c>
      <c r="Q259" s="83">
        <f t="shared" si="392"/>
        <v>132.37</v>
      </c>
      <c r="R259" s="83">
        <f t="shared" si="393"/>
        <v>0</v>
      </c>
      <c r="S259" s="83">
        <f t="shared" si="394"/>
        <v>208.01</v>
      </c>
      <c r="T259" s="83">
        <f t="shared" si="395"/>
        <v>1891</v>
      </c>
      <c r="U259" s="83">
        <f t="shared" si="396"/>
        <v>2099.0100000000002</v>
      </c>
      <c r="V259" s="83"/>
      <c r="W259" s="83"/>
      <c r="X259" s="83">
        <v>0</v>
      </c>
      <c r="Y259" s="84">
        <f t="shared" si="397"/>
        <v>-78.69383999999998</v>
      </c>
      <c r="Z259" s="83">
        <f t="shared" ref="Z259" si="400">TRUNC(IF(Y259&gt;0.01,Y259,0),2)</f>
        <v>0</v>
      </c>
      <c r="AA259" s="142">
        <f t="shared" si="398"/>
        <v>78.69</v>
      </c>
      <c r="AB259" s="142">
        <f t="shared" si="399"/>
        <v>2177.7000000000003</v>
      </c>
      <c r="AC259" s="86"/>
      <c r="AD259" s="73"/>
      <c r="AG259" s="91"/>
    </row>
    <row r="260" spans="1:33" s="40" customFormat="1" ht="36" customHeight="1">
      <c r="A260" s="105"/>
      <c r="B260" s="188"/>
      <c r="C260" s="188"/>
      <c r="D260" s="64" t="s">
        <v>729</v>
      </c>
      <c r="E260" s="65"/>
      <c r="F260" s="65"/>
      <c r="G260" s="66"/>
      <c r="H260" s="103" t="s">
        <v>730</v>
      </c>
      <c r="I260" s="72">
        <v>15</v>
      </c>
      <c r="J260" s="72" t="s">
        <v>272</v>
      </c>
      <c r="K260" s="72"/>
      <c r="L260" s="73">
        <v>0</v>
      </c>
      <c r="M260" s="74">
        <v>0</v>
      </c>
      <c r="N260" s="80">
        <v>217.7938</v>
      </c>
      <c r="O260" s="81">
        <f>TRUNC(N260*I260,2)</f>
        <v>3266.9</v>
      </c>
      <c r="P260" s="82">
        <f>TRUNC(N260*I260*0.04,2)</f>
        <v>130.66999999999999</v>
      </c>
      <c r="Q260" s="81">
        <f>TRUNC(N260*0.07*I260,2)</f>
        <v>228.68</v>
      </c>
      <c r="R260" s="83">
        <f>L260</f>
        <v>0</v>
      </c>
      <c r="S260" s="81">
        <f>TRUNC(Q260+P260+(IF(R260&gt;519,519,R260))+IF(K260=0,0,K260*N260),2)</f>
        <v>359.35</v>
      </c>
      <c r="T260" s="81">
        <f>TRUNC((IF(K260=0,I260*N260,(I260-K260)*N260))+(IF(R260&lt;519,0,R260-519)),2)+M260</f>
        <v>3266.9</v>
      </c>
      <c r="U260" s="81">
        <f>S260+T260</f>
        <v>3626.25</v>
      </c>
      <c r="V260" s="81"/>
      <c r="W260" s="81"/>
      <c r="X260" s="81">
        <v>0</v>
      </c>
      <c r="Y260" s="84">
        <f>IF(N260&gt;0.01,(T260-VLOOKUP(T260,quincenal,1))*VLOOKUP(T260,quincenal,3)+VLOOKUP(T260,quincenal,2)-VLOOKUP(T260,subquincenal,2),0)</f>
        <v>126.25563199999996</v>
      </c>
      <c r="Z260" s="81">
        <f>TRUNC(IF(Y260&gt;0.01,Y260,0),2)</f>
        <v>126.25</v>
      </c>
      <c r="AA260" s="85">
        <f>TRUNC(IF(Y260&lt;0.01,-Y260,0),2)</f>
        <v>0</v>
      </c>
      <c r="AB260" s="85">
        <f>U260-W260-X260-Z260+AA260</f>
        <v>3500</v>
      </c>
      <c r="AC260" s="86"/>
      <c r="AD260" s="73"/>
      <c r="AG260" s="91"/>
    </row>
    <row r="261" spans="1:33" s="40" customFormat="1" ht="36" customHeight="1">
      <c r="A261" s="105"/>
      <c r="B261" s="188"/>
      <c r="C261" s="188"/>
      <c r="D261" s="64" t="s">
        <v>51</v>
      </c>
      <c r="E261" s="147" t="s">
        <v>191</v>
      </c>
      <c r="F261" s="147" t="s">
        <v>226</v>
      </c>
      <c r="G261" s="148">
        <v>38025</v>
      </c>
      <c r="H261" s="67" t="s">
        <v>52</v>
      </c>
      <c r="I261" s="132">
        <v>15</v>
      </c>
      <c r="J261" s="132" t="s">
        <v>272</v>
      </c>
      <c r="K261" s="132"/>
      <c r="L261" s="138">
        <v>0</v>
      </c>
      <c r="M261" s="139">
        <v>0</v>
      </c>
      <c r="N261" s="80">
        <f>1882/15</f>
        <v>125.46666666666667</v>
      </c>
      <c r="O261" s="83">
        <f t="shared" ref="O261:O267" si="401">TRUNC(N261*I261,2)</f>
        <v>1882</v>
      </c>
      <c r="P261" s="141">
        <f t="shared" ref="P261:P267" si="402">TRUNC(N261*I261*0.04,2)</f>
        <v>75.28</v>
      </c>
      <c r="Q261" s="83">
        <f t="shared" ref="Q261:Q267" si="403">TRUNC(N261*0.07*I261,2)</f>
        <v>131.74</v>
      </c>
      <c r="R261" s="83">
        <f t="shared" ref="R261:R267" si="404">L261</f>
        <v>0</v>
      </c>
      <c r="S261" s="83">
        <f t="shared" ref="S261:S267" si="405">TRUNC(Q261+P261+(IF(R261&gt;519,519,R261))+IF(K261=0,0,K261*N261),2)</f>
        <v>207.02</v>
      </c>
      <c r="T261" s="83">
        <f t="shared" ref="T261:T267" si="406">TRUNC((IF(K261=0,I261*N261,(I261-K261)*N261))+(IF(R261&lt;519,0,R261-519)),2)+M261</f>
        <v>1882</v>
      </c>
      <c r="U261" s="83">
        <f t="shared" ref="U261:U267" si="407">S261+T261</f>
        <v>2089.02</v>
      </c>
      <c r="V261" s="83"/>
      <c r="W261" s="83"/>
      <c r="X261" s="83">
        <v>0</v>
      </c>
      <c r="Y261" s="84">
        <f t="shared" ref="Y261:Y267" si="408">IF(N261&gt;0.01,(T261-VLOOKUP(T261,quincenal,1))*VLOOKUP(T261,quincenal,3)+VLOOKUP(T261,quincenal,2)-VLOOKUP(T261,subquincenal,2),0)</f>
        <v>-79.269839999999974</v>
      </c>
      <c r="Z261" s="83">
        <f t="shared" ref="Z261:Z267" si="409">TRUNC(IF(Y261&gt;0.01,Y261,0),2)</f>
        <v>0</v>
      </c>
      <c r="AA261" s="142">
        <f t="shared" ref="AA261:AA267" si="410">TRUNC(IF(Y261&lt;0.01,-Y261,0),2)</f>
        <v>79.260000000000005</v>
      </c>
      <c r="AB261" s="142">
        <f t="shared" ref="AB261:AB267" si="411">U261-W261-X261-Z261+AA261</f>
        <v>2168.2800000000002</v>
      </c>
      <c r="AC261" s="143">
        <f>[2]PORTADA!$D$10</f>
        <v>1</v>
      </c>
      <c r="AD261" s="138"/>
      <c r="AE261" s="40">
        <v>152</v>
      </c>
      <c r="AG261" s="91"/>
    </row>
    <row r="262" spans="1:33" s="40" customFormat="1" ht="36.75" customHeight="1">
      <c r="A262" s="105"/>
      <c r="B262" s="188"/>
      <c r="C262" s="188"/>
      <c r="D262" s="64" t="s">
        <v>313</v>
      </c>
      <c r="E262" s="147" t="s">
        <v>469</v>
      </c>
      <c r="F262" s="147" t="s">
        <v>470</v>
      </c>
      <c r="G262" s="148">
        <v>39829</v>
      </c>
      <c r="H262" s="67" t="s">
        <v>52</v>
      </c>
      <c r="I262" s="132">
        <v>15</v>
      </c>
      <c r="J262" s="132" t="s">
        <v>272</v>
      </c>
      <c r="K262" s="132"/>
      <c r="L262" s="138">
        <v>0</v>
      </c>
      <c r="M262" s="139">
        <v>0</v>
      </c>
      <c r="N262" s="80">
        <f t="shared" ref="N262:N263" si="412">1882/15</f>
        <v>125.46666666666667</v>
      </c>
      <c r="O262" s="83">
        <f t="shared" si="401"/>
        <v>1882</v>
      </c>
      <c r="P262" s="141">
        <f t="shared" si="402"/>
        <v>75.28</v>
      </c>
      <c r="Q262" s="83">
        <f t="shared" si="403"/>
        <v>131.74</v>
      </c>
      <c r="R262" s="83">
        <f t="shared" si="404"/>
        <v>0</v>
      </c>
      <c r="S262" s="83">
        <f t="shared" si="405"/>
        <v>207.02</v>
      </c>
      <c r="T262" s="83">
        <f t="shared" si="406"/>
        <v>1882</v>
      </c>
      <c r="U262" s="83">
        <f t="shared" si="407"/>
        <v>2089.02</v>
      </c>
      <c r="V262" s="83"/>
      <c r="W262" s="83"/>
      <c r="X262" s="83">
        <v>0</v>
      </c>
      <c r="Y262" s="84">
        <f t="shared" si="408"/>
        <v>-79.269839999999974</v>
      </c>
      <c r="Z262" s="83">
        <f t="shared" si="409"/>
        <v>0</v>
      </c>
      <c r="AA262" s="142">
        <f t="shared" si="410"/>
        <v>79.260000000000005</v>
      </c>
      <c r="AB262" s="142">
        <f t="shared" si="411"/>
        <v>2168.2800000000002</v>
      </c>
      <c r="AC262" s="143">
        <f>[2]PORTADA!$D$10</f>
        <v>1</v>
      </c>
      <c r="AD262" s="138"/>
      <c r="AE262" s="40">
        <v>153</v>
      </c>
      <c r="AG262" s="91"/>
    </row>
    <row r="263" spans="1:33" s="40" customFormat="1" ht="36" customHeight="1">
      <c r="A263" s="105"/>
      <c r="B263" s="188"/>
      <c r="C263" s="188"/>
      <c r="D263" s="64" t="s">
        <v>53</v>
      </c>
      <c r="E263" s="147" t="s">
        <v>203</v>
      </c>
      <c r="F263" s="147" t="s">
        <v>236</v>
      </c>
      <c r="G263" s="148">
        <v>38025</v>
      </c>
      <c r="H263" s="67" t="s">
        <v>52</v>
      </c>
      <c r="I263" s="132">
        <v>15</v>
      </c>
      <c r="J263" s="132" t="s">
        <v>272</v>
      </c>
      <c r="K263" s="132"/>
      <c r="L263" s="138">
        <v>0</v>
      </c>
      <c r="M263" s="139">
        <v>0</v>
      </c>
      <c r="N263" s="80">
        <f t="shared" si="412"/>
        <v>125.46666666666667</v>
      </c>
      <c r="O263" s="83">
        <f t="shared" si="401"/>
        <v>1882</v>
      </c>
      <c r="P263" s="141">
        <f t="shared" si="402"/>
        <v>75.28</v>
      </c>
      <c r="Q263" s="83">
        <f t="shared" si="403"/>
        <v>131.74</v>
      </c>
      <c r="R263" s="83">
        <f t="shared" si="404"/>
        <v>0</v>
      </c>
      <c r="S263" s="83">
        <f t="shared" si="405"/>
        <v>207.02</v>
      </c>
      <c r="T263" s="83">
        <f t="shared" si="406"/>
        <v>1882</v>
      </c>
      <c r="U263" s="83">
        <f t="shared" si="407"/>
        <v>2089.02</v>
      </c>
      <c r="V263" s="83"/>
      <c r="W263" s="83">
        <v>0</v>
      </c>
      <c r="X263" s="83">
        <v>0</v>
      </c>
      <c r="Y263" s="84">
        <f t="shared" si="408"/>
        <v>-79.269839999999974</v>
      </c>
      <c r="Z263" s="83">
        <f t="shared" si="409"/>
        <v>0</v>
      </c>
      <c r="AA263" s="142">
        <f t="shared" si="410"/>
        <v>79.260000000000005</v>
      </c>
      <c r="AB263" s="142">
        <f t="shared" si="411"/>
        <v>2168.2800000000002</v>
      </c>
      <c r="AC263" s="143">
        <f>[2]PORTADA!$D$10</f>
        <v>1</v>
      </c>
      <c r="AD263" s="138"/>
      <c r="AE263" s="40">
        <v>154</v>
      </c>
      <c r="AG263" s="91"/>
    </row>
    <row r="264" spans="1:33" s="40" customFormat="1" ht="36" customHeight="1">
      <c r="A264" s="105"/>
      <c r="B264" s="188"/>
      <c r="C264" s="188"/>
      <c r="D264" s="64" t="s">
        <v>375</v>
      </c>
      <c r="E264" s="147" t="s">
        <v>423</v>
      </c>
      <c r="F264" s="147" t="s">
        <v>424</v>
      </c>
      <c r="G264" s="233"/>
      <c r="H264" s="67" t="s">
        <v>54</v>
      </c>
      <c r="I264" s="132">
        <v>15</v>
      </c>
      <c r="J264" s="132" t="s">
        <v>272</v>
      </c>
      <c r="K264" s="132"/>
      <c r="L264" s="138">
        <v>0</v>
      </c>
      <c r="M264" s="139">
        <v>0</v>
      </c>
      <c r="N264" s="80">
        <f>1433/15</f>
        <v>95.533333333333331</v>
      </c>
      <c r="O264" s="83">
        <f t="shared" si="401"/>
        <v>1433</v>
      </c>
      <c r="P264" s="141">
        <f t="shared" si="402"/>
        <v>57.32</v>
      </c>
      <c r="Q264" s="83">
        <f t="shared" si="403"/>
        <v>100.31</v>
      </c>
      <c r="R264" s="83">
        <f t="shared" si="404"/>
        <v>0</v>
      </c>
      <c r="S264" s="83">
        <f t="shared" si="405"/>
        <v>157.63</v>
      </c>
      <c r="T264" s="83">
        <f t="shared" si="406"/>
        <v>1433</v>
      </c>
      <c r="U264" s="83">
        <f t="shared" si="407"/>
        <v>1590.63</v>
      </c>
      <c r="V264" s="83"/>
      <c r="W264" s="83"/>
      <c r="X264" s="83">
        <v>0</v>
      </c>
      <c r="Y264" s="84">
        <f t="shared" si="408"/>
        <v>-120.00583999999998</v>
      </c>
      <c r="Z264" s="83">
        <f t="shared" si="409"/>
        <v>0</v>
      </c>
      <c r="AA264" s="142">
        <f t="shared" si="410"/>
        <v>120</v>
      </c>
      <c r="AB264" s="142">
        <f t="shared" si="411"/>
        <v>1710.63</v>
      </c>
      <c r="AC264" s="143">
        <f>[2]PORTADA!$D$10</f>
        <v>1</v>
      </c>
      <c r="AD264" s="138"/>
      <c r="AE264" s="40">
        <v>155</v>
      </c>
      <c r="AG264" s="91"/>
    </row>
    <row r="265" spans="1:33" s="40" customFormat="1" ht="36" customHeight="1">
      <c r="A265" s="105"/>
      <c r="B265" s="188"/>
      <c r="C265" s="188"/>
      <c r="D265" s="64" t="s">
        <v>377</v>
      </c>
      <c r="E265" s="65"/>
      <c r="F265" s="65"/>
      <c r="G265" s="66"/>
      <c r="H265" s="67" t="s">
        <v>55</v>
      </c>
      <c r="I265" s="132">
        <v>15</v>
      </c>
      <c r="J265" s="132" t="s">
        <v>272</v>
      </c>
      <c r="K265" s="132"/>
      <c r="L265" s="138">
        <v>0</v>
      </c>
      <c r="M265" s="139">
        <v>0</v>
      </c>
      <c r="N265" s="80">
        <f>1281/15</f>
        <v>85.4</v>
      </c>
      <c r="O265" s="83">
        <f t="shared" si="401"/>
        <v>1281</v>
      </c>
      <c r="P265" s="141">
        <f t="shared" si="402"/>
        <v>51.24</v>
      </c>
      <c r="Q265" s="83">
        <f t="shared" si="403"/>
        <v>89.67</v>
      </c>
      <c r="R265" s="83">
        <f t="shared" si="404"/>
        <v>0</v>
      </c>
      <c r="S265" s="83">
        <f t="shared" si="405"/>
        <v>140.91</v>
      </c>
      <c r="T265" s="83">
        <f t="shared" si="406"/>
        <v>1281</v>
      </c>
      <c r="U265" s="83">
        <f t="shared" si="407"/>
        <v>1421.91</v>
      </c>
      <c r="V265" s="83"/>
      <c r="W265" s="83"/>
      <c r="X265" s="83">
        <v>0</v>
      </c>
      <c r="Y265" s="84">
        <f t="shared" si="408"/>
        <v>-129.73383999999999</v>
      </c>
      <c r="Z265" s="83">
        <f t="shared" si="409"/>
        <v>0</v>
      </c>
      <c r="AA265" s="142">
        <f t="shared" si="410"/>
        <v>129.72999999999999</v>
      </c>
      <c r="AB265" s="142">
        <f t="shared" si="411"/>
        <v>1551.64</v>
      </c>
      <c r="AC265" s="143">
        <f>[2]PORTADA!$D$10</f>
        <v>1</v>
      </c>
      <c r="AD265" s="138"/>
      <c r="AE265" s="40">
        <v>156</v>
      </c>
      <c r="AG265" s="91"/>
    </row>
    <row r="266" spans="1:33" s="40" customFormat="1" ht="36" customHeight="1">
      <c r="A266" s="105"/>
      <c r="B266" s="188"/>
      <c r="C266" s="188"/>
      <c r="D266" s="64" t="s">
        <v>376</v>
      </c>
      <c r="E266" s="65"/>
      <c r="F266" s="65"/>
      <c r="G266" s="66"/>
      <c r="H266" s="103" t="s">
        <v>336</v>
      </c>
      <c r="I266" s="132">
        <v>15</v>
      </c>
      <c r="J266" s="132" t="s">
        <v>272</v>
      </c>
      <c r="K266" s="132"/>
      <c r="L266" s="138">
        <v>0</v>
      </c>
      <c r="M266" s="139">
        <v>0</v>
      </c>
      <c r="N266" s="80">
        <f>1383/15</f>
        <v>92.2</v>
      </c>
      <c r="O266" s="83">
        <f t="shared" si="401"/>
        <v>1383</v>
      </c>
      <c r="P266" s="141">
        <f t="shared" si="402"/>
        <v>55.32</v>
      </c>
      <c r="Q266" s="83">
        <f t="shared" si="403"/>
        <v>96.81</v>
      </c>
      <c r="R266" s="83">
        <f>L266</f>
        <v>0</v>
      </c>
      <c r="S266" s="83">
        <f t="shared" si="405"/>
        <v>152.13</v>
      </c>
      <c r="T266" s="83">
        <f t="shared" si="406"/>
        <v>1383</v>
      </c>
      <c r="U266" s="83">
        <f>S266+T266</f>
        <v>1535.13</v>
      </c>
      <c r="V266" s="83"/>
      <c r="W266" s="83"/>
      <c r="X266" s="83">
        <v>0</v>
      </c>
      <c r="Y266" s="84">
        <f>IF(N266&gt;0.01,(T266-VLOOKUP(T266,quincenal,1))*VLOOKUP(T266,quincenal,3)+VLOOKUP(T266,quincenal,2)-VLOOKUP(T266,subquincenal,2),0)</f>
        <v>-123.20583999999998</v>
      </c>
      <c r="Z266" s="83">
        <f t="shared" si="409"/>
        <v>0</v>
      </c>
      <c r="AA266" s="142">
        <f>TRUNC(IF(Y266&lt;0.01,-Y266,0),2)</f>
        <v>123.2</v>
      </c>
      <c r="AB266" s="142">
        <f>U266-W266-X266-Z266+AA266</f>
        <v>1658.3300000000002</v>
      </c>
      <c r="AC266" s="143">
        <f>[2]PORTADA!$D$10</f>
        <v>1</v>
      </c>
      <c r="AD266" s="138"/>
      <c r="AE266" s="40">
        <v>157</v>
      </c>
      <c r="AG266" s="91"/>
    </row>
    <row r="267" spans="1:33" s="40" customFormat="1" ht="36" customHeight="1">
      <c r="A267" s="105"/>
      <c r="B267" s="188"/>
      <c r="C267" s="188"/>
      <c r="D267" s="64" t="s">
        <v>172</v>
      </c>
      <c r="E267" s="147" t="s">
        <v>471</v>
      </c>
      <c r="F267" s="147" t="s">
        <v>472</v>
      </c>
      <c r="G267" s="148">
        <v>38025</v>
      </c>
      <c r="H267" s="103" t="s">
        <v>59</v>
      </c>
      <c r="I267" s="132">
        <v>15</v>
      </c>
      <c r="J267" s="132" t="s">
        <v>272</v>
      </c>
      <c r="K267" s="132"/>
      <c r="L267" s="138">
        <v>0</v>
      </c>
      <c r="M267" s="139">
        <v>0</v>
      </c>
      <c r="N267" s="80">
        <f>904/15</f>
        <v>60.266666666666666</v>
      </c>
      <c r="O267" s="83">
        <f t="shared" si="401"/>
        <v>904</v>
      </c>
      <c r="P267" s="141">
        <f t="shared" si="402"/>
        <v>36.159999999999997</v>
      </c>
      <c r="Q267" s="83">
        <f t="shared" si="403"/>
        <v>63.28</v>
      </c>
      <c r="R267" s="83">
        <f t="shared" si="404"/>
        <v>0</v>
      </c>
      <c r="S267" s="83">
        <f t="shared" si="405"/>
        <v>99.44</v>
      </c>
      <c r="T267" s="83">
        <f t="shared" si="406"/>
        <v>904</v>
      </c>
      <c r="U267" s="83">
        <f t="shared" si="407"/>
        <v>1003.44</v>
      </c>
      <c r="V267" s="83"/>
      <c r="W267" s="83"/>
      <c r="X267" s="83">
        <v>0</v>
      </c>
      <c r="Y267" s="84">
        <f t="shared" si="408"/>
        <v>-153.86183999999997</v>
      </c>
      <c r="Z267" s="83">
        <f t="shared" si="409"/>
        <v>0</v>
      </c>
      <c r="AA267" s="142">
        <f t="shared" si="410"/>
        <v>153.86000000000001</v>
      </c>
      <c r="AB267" s="142">
        <f t="shared" si="411"/>
        <v>1157.3000000000002</v>
      </c>
      <c r="AC267" s="143">
        <f>[2]PORTADA!$D$10</f>
        <v>1</v>
      </c>
      <c r="AD267" s="138"/>
      <c r="AE267" s="40">
        <v>158</v>
      </c>
      <c r="AG267" s="91"/>
    </row>
    <row r="268" spans="1:33" s="40" customFormat="1" ht="12.75">
      <c r="A268" s="105"/>
      <c r="B268" s="180"/>
      <c r="C268" s="180"/>
      <c r="D268" s="95" t="s">
        <v>49</v>
      </c>
      <c r="E268" s="43"/>
      <c r="F268" s="43"/>
      <c r="G268" s="44"/>
      <c r="H268" s="96"/>
      <c r="I268" s="51"/>
      <c r="J268" s="51"/>
      <c r="K268" s="51"/>
      <c r="L268" s="52"/>
      <c r="M268" s="53"/>
      <c r="N268" s="97"/>
      <c r="O268" s="98">
        <f>SUM(O258:O267)</f>
        <v>17514.55</v>
      </c>
      <c r="P268" s="98">
        <f t="shared" ref="P268:AD268" si="413">SUM(P258:P267)</f>
        <v>700.56999999999994</v>
      </c>
      <c r="Q268" s="98">
        <f t="shared" si="413"/>
        <v>1226.01</v>
      </c>
      <c r="R268" s="98">
        <f t="shared" si="413"/>
        <v>0</v>
      </c>
      <c r="S268" s="98">
        <f t="shared" si="413"/>
        <v>1926.58</v>
      </c>
      <c r="T268" s="98">
        <f t="shared" si="413"/>
        <v>17514.55</v>
      </c>
      <c r="U268" s="98">
        <f t="shared" si="413"/>
        <v>19441.13</v>
      </c>
      <c r="V268" s="98">
        <f t="shared" si="413"/>
        <v>0</v>
      </c>
      <c r="W268" s="98">
        <f t="shared" si="413"/>
        <v>0</v>
      </c>
      <c r="X268" s="98">
        <f t="shared" si="413"/>
        <v>0</v>
      </c>
      <c r="Y268" s="98">
        <f t="shared" si="413"/>
        <v>-819.35532799999987</v>
      </c>
      <c r="Z268" s="98">
        <f t="shared" si="413"/>
        <v>126.25</v>
      </c>
      <c r="AA268" s="98">
        <f t="shared" si="413"/>
        <v>945.56000000000006</v>
      </c>
      <c r="AB268" s="98">
        <f t="shared" si="413"/>
        <v>20260.440000000002</v>
      </c>
      <c r="AC268" s="98" t="e">
        <f t="shared" si="413"/>
        <v>#REF!</v>
      </c>
      <c r="AD268" s="98">
        <f t="shared" si="413"/>
        <v>0</v>
      </c>
    </row>
    <row r="269" spans="1:33" s="40" customFormat="1" ht="12.75">
      <c r="A269" s="105"/>
      <c r="B269" s="180"/>
      <c r="C269" s="180"/>
      <c r="D269" s="95"/>
      <c r="E269" s="43"/>
      <c r="F269" s="43"/>
      <c r="G269" s="44"/>
      <c r="H269" s="96"/>
      <c r="I269" s="51"/>
      <c r="J269" s="51"/>
      <c r="K269" s="51"/>
      <c r="L269" s="52"/>
      <c r="M269" s="53"/>
      <c r="N269" s="97"/>
      <c r="O269" s="98"/>
      <c r="P269" s="98"/>
      <c r="Q269" s="98"/>
      <c r="R269" s="98"/>
      <c r="S269" s="98"/>
      <c r="T269" s="98"/>
      <c r="U269" s="98"/>
      <c r="V269" s="98"/>
      <c r="W269" s="90"/>
      <c r="X269" s="90"/>
      <c r="Y269" s="98"/>
      <c r="Z269" s="98"/>
      <c r="AA269" s="98"/>
      <c r="AB269" s="98"/>
      <c r="AC269" s="99"/>
      <c r="AD269" s="52"/>
    </row>
    <row r="270" spans="1:33" s="40" customFormat="1">
      <c r="A270" s="105"/>
      <c r="B270" s="180"/>
      <c r="C270" s="180"/>
      <c r="D270" s="127"/>
      <c r="E270" s="43"/>
      <c r="F270" s="43"/>
      <c r="G270" s="44"/>
      <c r="H270" s="96"/>
      <c r="I270" s="51"/>
      <c r="J270" s="51"/>
      <c r="K270" s="51"/>
      <c r="L270" s="52"/>
      <c r="M270" s="53"/>
      <c r="N270" s="97"/>
      <c r="O270" s="98"/>
      <c r="P270" s="98"/>
      <c r="Q270" s="98"/>
      <c r="R270" s="98"/>
      <c r="S270" s="98"/>
      <c r="T270" s="98"/>
      <c r="U270" s="98"/>
      <c r="V270" s="98"/>
      <c r="W270" s="90"/>
      <c r="X270" s="90"/>
      <c r="Y270" s="98"/>
      <c r="Z270" s="98"/>
      <c r="AA270" s="98"/>
      <c r="AB270" s="98"/>
      <c r="AC270" s="99"/>
      <c r="AD270" s="52"/>
    </row>
    <row r="271" spans="1:33" s="40" customFormat="1">
      <c r="A271" s="105"/>
      <c r="B271" s="180"/>
      <c r="C271" s="180"/>
      <c r="D271" s="144"/>
      <c r="E271" s="43"/>
      <c r="F271" s="43"/>
      <c r="G271" s="44"/>
      <c r="H271" s="96"/>
      <c r="I271" s="51"/>
      <c r="J271" s="51"/>
      <c r="K271" s="51"/>
      <c r="L271" s="52"/>
      <c r="M271" s="53"/>
      <c r="N271" s="97"/>
      <c r="O271" s="98">
        <f>O19+O26+O33+O40+O46+O51+O58+O69+O75+O82+O91+O98+O109+O118+O126+O130+O135+O143+O163+O171+O178+O189+O184+O202+O214+O221+O233+O239+O243+O249+O255+O268</f>
        <v>555307.79000000015</v>
      </c>
      <c r="P271" s="98">
        <f t="shared" ref="P271:AB271" si="414">P19+P26+P33+P40+P46+P51+P58+P69+P75+P82+P91+P98+P109+P118+P126+P130+P135+P143+P163+P171+P178+P189+P184+P202+P214+P221+P233+P239+P243+P249+P255+P268</f>
        <v>22212.010000000002</v>
      </c>
      <c r="Q271" s="98">
        <f t="shared" si="414"/>
        <v>38871.11</v>
      </c>
      <c r="R271" s="98">
        <f t="shared" si="414"/>
        <v>0</v>
      </c>
      <c r="S271" s="98">
        <f t="shared" si="414"/>
        <v>61083.12000000001</v>
      </c>
      <c r="T271" s="98">
        <f t="shared" si="414"/>
        <v>555307.79000000015</v>
      </c>
      <c r="U271" s="98">
        <f t="shared" si="414"/>
        <v>616390.91</v>
      </c>
      <c r="V271" s="98">
        <f t="shared" si="414"/>
        <v>0</v>
      </c>
      <c r="W271" s="98">
        <f t="shared" si="414"/>
        <v>0</v>
      </c>
      <c r="X271" s="98">
        <f t="shared" si="414"/>
        <v>0</v>
      </c>
      <c r="Y271" s="98" t="e">
        <f t="shared" si="414"/>
        <v>#N/A</v>
      </c>
      <c r="Z271" s="98">
        <f t="shared" si="414"/>
        <v>40007.290000000008</v>
      </c>
      <c r="AA271" s="98">
        <f t="shared" si="414"/>
        <v>4999.29</v>
      </c>
      <c r="AB271" s="98">
        <f t="shared" si="414"/>
        <v>581382.90999999992</v>
      </c>
      <c r="AC271" s="99"/>
      <c r="AD271" s="52"/>
    </row>
    <row r="272" spans="1:33" s="40" customFormat="1">
      <c r="A272" s="105"/>
      <c r="B272" s="180"/>
      <c r="C272" s="180"/>
      <c r="D272" s="127"/>
      <c r="E272" s="43"/>
      <c r="F272" s="43"/>
      <c r="G272" s="44"/>
      <c r="H272" s="96"/>
      <c r="I272" s="51"/>
      <c r="J272" s="51"/>
      <c r="K272" s="51"/>
      <c r="L272" s="52"/>
      <c r="M272" s="53"/>
      <c r="N272" s="97"/>
      <c r="O272" s="98"/>
      <c r="P272" s="98"/>
      <c r="Q272" s="98"/>
      <c r="R272" s="98"/>
      <c r="S272" s="98"/>
      <c r="T272" s="98"/>
      <c r="U272" s="98"/>
      <c r="V272" s="98"/>
      <c r="W272" s="90"/>
      <c r="X272" s="90"/>
      <c r="Y272" s="98"/>
      <c r="Z272" s="98"/>
      <c r="AA272" s="98"/>
      <c r="AB272" s="98"/>
      <c r="AC272" s="99"/>
      <c r="AD272" s="52"/>
    </row>
    <row r="273" spans="1:33" s="40" customFormat="1">
      <c r="A273" s="105"/>
      <c r="B273" s="180"/>
      <c r="C273" s="180"/>
      <c r="D273" s="127"/>
      <c r="E273" s="43"/>
      <c r="F273" s="43"/>
      <c r="G273" s="44"/>
      <c r="H273" s="96"/>
      <c r="I273" s="51"/>
      <c r="J273" s="51"/>
      <c r="K273" s="51"/>
      <c r="L273" s="52"/>
      <c r="M273" s="53"/>
      <c r="N273" s="97"/>
      <c r="O273" s="98"/>
      <c r="P273" s="98"/>
      <c r="Q273" s="98"/>
      <c r="R273" s="98"/>
      <c r="S273" s="98"/>
      <c r="T273" s="98"/>
      <c r="U273" s="98"/>
      <c r="V273" s="98"/>
      <c r="W273" s="90"/>
      <c r="X273" s="90"/>
      <c r="Y273" s="98"/>
      <c r="Z273" s="98"/>
      <c r="AA273" s="98"/>
      <c r="AB273" s="98"/>
      <c r="AC273" s="99"/>
      <c r="AD273" s="52"/>
    </row>
    <row r="274" spans="1:33" s="40" customFormat="1">
      <c r="A274" s="105"/>
      <c r="B274" s="180"/>
      <c r="C274" s="180"/>
      <c r="D274" s="127"/>
      <c r="E274" s="43"/>
      <c r="F274" s="43"/>
      <c r="G274" s="44"/>
      <c r="H274" s="96"/>
      <c r="I274" s="51"/>
      <c r="J274" s="51"/>
      <c r="K274" s="51"/>
      <c r="L274" s="52"/>
      <c r="M274" s="53"/>
      <c r="N274" s="97"/>
      <c r="O274" s="98"/>
      <c r="P274" s="98"/>
      <c r="Q274" s="98"/>
      <c r="R274" s="98"/>
      <c r="S274" s="98"/>
      <c r="T274" s="98"/>
      <c r="U274" s="98"/>
      <c r="V274" s="98"/>
      <c r="W274" s="90"/>
      <c r="X274" s="90"/>
      <c r="Y274" s="98"/>
      <c r="Z274" s="98"/>
      <c r="AA274" s="234"/>
      <c r="AB274" s="98"/>
      <c r="AC274" s="99"/>
      <c r="AD274" s="52"/>
    </row>
    <row r="275" spans="1:33" s="40" customFormat="1">
      <c r="A275" s="105"/>
      <c r="B275" s="180"/>
      <c r="C275" s="180"/>
      <c r="D275" s="127"/>
      <c r="E275" s="43"/>
      <c r="F275" s="43"/>
      <c r="G275" s="44"/>
      <c r="H275" s="96"/>
      <c r="I275" s="51"/>
      <c r="J275" s="51"/>
      <c r="K275" s="51"/>
      <c r="L275" s="52"/>
      <c r="M275" s="53"/>
      <c r="N275" s="97"/>
      <c r="O275" s="98"/>
      <c r="P275" s="98"/>
      <c r="Q275" s="98"/>
      <c r="R275" s="98"/>
      <c r="S275" s="98"/>
      <c r="T275" s="98"/>
      <c r="U275" s="98"/>
      <c r="V275" s="98"/>
      <c r="W275" s="90"/>
      <c r="X275" s="90"/>
      <c r="Y275" s="98"/>
      <c r="Z275" s="98"/>
      <c r="AA275" s="234"/>
      <c r="AB275" s="98"/>
      <c r="AC275" s="99"/>
      <c r="AD275" s="52"/>
    </row>
    <row r="276" spans="1:33" s="40" customFormat="1" ht="12.75">
      <c r="A276" s="105"/>
      <c r="B276" s="180"/>
      <c r="C276" s="180"/>
      <c r="D276" s="164" t="s">
        <v>661</v>
      </c>
      <c r="E276" s="164"/>
      <c r="F276" s="43"/>
      <c r="G276" s="44"/>
      <c r="H276" s="96"/>
      <c r="I276" s="165" t="s">
        <v>662</v>
      </c>
      <c r="J276" s="165"/>
      <c r="K276" s="165"/>
      <c r="L276" s="165"/>
      <c r="M276" s="165"/>
      <c r="N276" s="165"/>
      <c r="O276" s="165"/>
      <c r="P276" s="165"/>
      <c r="Q276" s="165"/>
      <c r="R276" s="98"/>
      <c r="S276" s="98"/>
      <c r="T276" s="98"/>
      <c r="U276" s="98"/>
      <c r="V276" s="98"/>
      <c r="W276" s="90"/>
      <c r="X276" s="90"/>
      <c r="Y276" s="98"/>
      <c r="Z276" s="98"/>
      <c r="AA276" s="159" t="s">
        <v>663</v>
      </c>
      <c r="AB276" s="159"/>
      <c r="AC276" s="159"/>
      <c r="AD276" s="159"/>
    </row>
    <row r="277" spans="1:33" s="40" customFormat="1" ht="12.75">
      <c r="A277" s="105"/>
      <c r="B277" s="180"/>
      <c r="C277" s="180"/>
      <c r="D277" s="162" t="s">
        <v>572</v>
      </c>
      <c r="E277" s="162"/>
      <c r="F277" s="43"/>
      <c r="G277" s="44"/>
      <c r="H277" s="96"/>
      <c r="I277" s="163" t="s">
        <v>24</v>
      </c>
      <c r="J277" s="163"/>
      <c r="K277" s="163"/>
      <c r="L277" s="163"/>
      <c r="M277" s="163"/>
      <c r="N277" s="163"/>
      <c r="O277" s="163"/>
      <c r="P277" s="163"/>
      <c r="Q277" s="163"/>
      <c r="R277" s="98"/>
      <c r="S277" s="98"/>
      <c r="T277" s="98"/>
      <c r="U277" s="98"/>
      <c r="V277" s="98"/>
      <c r="W277" s="90"/>
      <c r="X277" s="90"/>
      <c r="Y277" s="98"/>
      <c r="Z277" s="98"/>
      <c r="AA277" s="160" t="s">
        <v>152</v>
      </c>
      <c r="AB277" s="160"/>
      <c r="AC277" s="160"/>
      <c r="AD277" s="160"/>
    </row>
    <row r="278" spans="1:33" s="40" customFormat="1" ht="14.25" customHeight="1">
      <c r="A278" s="105"/>
      <c r="B278" s="180"/>
      <c r="C278" s="180"/>
      <c r="D278" s="127"/>
      <c r="E278" s="43"/>
      <c r="F278" s="43"/>
      <c r="G278" s="44"/>
      <c r="H278" s="96"/>
      <c r="I278" s="51"/>
      <c r="J278" s="51"/>
      <c r="K278" s="51"/>
      <c r="L278" s="52"/>
      <c r="M278" s="53"/>
      <c r="N278" s="97"/>
      <c r="O278" s="98"/>
      <c r="P278" s="98"/>
      <c r="Q278" s="98"/>
      <c r="R278" s="98"/>
      <c r="S278" s="98"/>
      <c r="T278" s="98"/>
      <c r="U278" s="98"/>
      <c r="V278" s="98"/>
      <c r="W278" s="90"/>
      <c r="X278" s="90"/>
      <c r="Y278" s="98"/>
      <c r="Z278" s="98"/>
      <c r="AA278" s="98"/>
      <c r="AB278" s="98"/>
      <c r="AC278" s="99"/>
      <c r="AD278" s="52"/>
    </row>
    <row r="279" spans="1:33" s="40" customFormat="1" ht="14.25" customHeight="1">
      <c r="A279" s="105"/>
      <c r="B279" s="180"/>
      <c r="C279" s="180"/>
      <c r="D279" s="127"/>
      <c r="E279" s="43"/>
      <c r="F279" s="43"/>
      <c r="G279" s="44"/>
      <c r="H279" s="96"/>
      <c r="I279" s="51"/>
      <c r="J279" s="51"/>
      <c r="K279" s="51"/>
      <c r="L279" s="52"/>
      <c r="M279" s="53"/>
      <c r="N279" s="97"/>
      <c r="O279" s="98"/>
      <c r="P279" s="98"/>
      <c r="Q279" s="98"/>
      <c r="R279" s="98"/>
      <c r="S279" s="98"/>
      <c r="T279" s="98"/>
      <c r="U279" s="98"/>
      <c r="V279" s="98"/>
      <c r="W279" s="90"/>
      <c r="X279" s="90"/>
      <c r="Y279" s="98"/>
      <c r="Z279" s="98"/>
      <c r="AA279" s="98"/>
      <c r="AB279" s="98"/>
      <c r="AC279" s="99"/>
      <c r="AD279" s="52"/>
    </row>
    <row r="280" spans="1:33" s="40" customFormat="1">
      <c r="A280" s="105"/>
      <c r="B280" s="180"/>
      <c r="C280" s="180"/>
      <c r="D280" s="127"/>
      <c r="E280" s="43"/>
      <c r="F280" s="43"/>
      <c r="G280" s="44"/>
      <c r="H280" s="96"/>
      <c r="I280" s="51"/>
      <c r="J280" s="51"/>
      <c r="K280" s="51"/>
      <c r="L280" s="52"/>
      <c r="M280" s="53"/>
      <c r="N280" s="97"/>
      <c r="O280" s="98"/>
      <c r="P280" s="98"/>
      <c r="Q280" s="98"/>
      <c r="R280" s="98"/>
      <c r="S280" s="98"/>
      <c r="T280" s="98"/>
      <c r="U280" s="98"/>
      <c r="V280" s="98"/>
      <c r="W280" s="90"/>
      <c r="X280" s="90"/>
      <c r="Y280" s="98"/>
      <c r="Z280" s="98"/>
      <c r="AA280" s="98"/>
      <c r="AB280" s="98"/>
      <c r="AC280" s="99"/>
      <c r="AD280" s="52"/>
    </row>
    <row r="281" spans="1:33" s="40" customFormat="1" ht="15.75">
      <c r="A281" s="10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</row>
    <row r="282" spans="1:33" s="40" customFormat="1" ht="12.75">
      <c r="A282" s="105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</row>
    <row r="283" spans="1:33" s="40" customFormat="1" ht="12.75">
      <c r="A283" s="105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</row>
    <row r="284" spans="1:33" s="40" customFormat="1">
      <c r="A284" s="105"/>
      <c r="B284" s="106"/>
      <c r="D284" s="127"/>
      <c r="E284" s="43"/>
      <c r="F284" s="43"/>
      <c r="G284" s="225"/>
      <c r="H284" s="96"/>
      <c r="I284" s="226"/>
      <c r="J284" s="226"/>
      <c r="P284" s="181"/>
      <c r="Q284" s="88"/>
      <c r="R284" s="146"/>
      <c r="S284" s="88"/>
      <c r="T284" s="88"/>
      <c r="U284" s="88"/>
      <c r="V284" s="88"/>
      <c r="W284" s="88"/>
      <c r="X284" s="88"/>
      <c r="Y284" s="91"/>
      <c r="Z284" s="88"/>
      <c r="AA284" s="182"/>
      <c r="AB284" s="182"/>
      <c r="AC284" s="99"/>
    </row>
    <row r="285" spans="1:33" s="40" customFormat="1" ht="12.75">
      <c r="A285" s="105"/>
      <c r="B285" s="180"/>
      <c r="C285" s="180"/>
      <c r="D285" s="95" t="s">
        <v>311</v>
      </c>
      <c r="E285" s="43"/>
      <c r="F285" s="43"/>
      <c r="G285" s="44"/>
      <c r="H285" s="96"/>
      <c r="I285" s="51"/>
      <c r="J285" s="51"/>
      <c r="K285" s="51"/>
      <c r="L285" s="52"/>
      <c r="M285" s="53"/>
      <c r="N285" s="97"/>
      <c r="O285" s="88"/>
      <c r="P285" s="181"/>
      <c r="Q285" s="88"/>
      <c r="R285" s="146"/>
      <c r="S285" s="88"/>
      <c r="T285" s="88"/>
      <c r="U285" s="88"/>
      <c r="V285" s="88"/>
      <c r="W285" s="88"/>
      <c r="X285" s="88"/>
      <c r="Y285" s="91"/>
      <c r="Z285" s="88"/>
      <c r="AA285" s="182"/>
      <c r="AB285" s="182"/>
      <c r="AC285" s="99"/>
      <c r="AD285" s="52"/>
    </row>
    <row r="286" spans="1:33" s="40" customFormat="1" ht="36" customHeight="1">
      <c r="A286" s="105"/>
      <c r="B286" s="71"/>
      <c r="C286" s="71"/>
      <c r="D286" s="64" t="s">
        <v>568</v>
      </c>
      <c r="E286" s="65"/>
      <c r="F286" s="65"/>
      <c r="G286" s="66"/>
      <c r="H286" s="67" t="s">
        <v>124</v>
      </c>
      <c r="I286" s="72">
        <v>15</v>
      </c>
      <c r="J286" s="72" t="s">
        <v>272</v>
      </c>
      <c r="K286" s="72"/>
      <c r="L286" s="73">
        <v>0</v>
      </c>
      <c r="M286" s="74">
        <v>0</v>
      </c>
      <c r="N286" s="80">
        <f t="shared" ref="N286" si="415">3291/15</f>
        <v>219.4</v>
      </c>
      <c r="O286" s="81">
        <f t="shared" ref="O286" si="416">TRUNC(N286*I286,2)</f>
        <v>3291</v>
      </c>
      <c r="P286" s="82">
        <f t="shared" ref="P286" si="417">TRUNC(N286*I286*0.04,2)</f>
        <v>131.63999999999999</v>
      </c>
      <c r="Q286" s="81">
        <f t="shared" ref="Q286" si="418">TRUNC(N286*0.07*I286,2)</f>
        <v>230.37</v>
      </c>
      <c r="R286" s="83">
        <f t="shared" ref="R286" si="419">L286</f>
        <v>0</v>
      </c>
      <c r="S286" s="81">
        <f t="shared" ref="S286" si="420">TRUNC(Q286+P286+(IF(R286&gt;519,519,R286))+IF(K286=0,0,K286*N286),2)</f>
        <v>362.01</v>
      </c>
      <c r="T286" s="81">
        <f t="shared" ref="T286" si="421">TRUNC((IF(K286=0,I286*N286,(I286-K286)*N286))+(IF(R286&lt;519,0,R286-519)),2)+M286</f>
        <v>3291</v>
      </c>
      <c r="U286" s="81">
        <f t="shared" ref="U286" si="422">S286+T286</f>
        <v>3653.01</v>
      </c>
      <c r="V286" s="81"/>
      <c r="W286" s="81">
        <v>0</v>
      </c>
      <c r="X286" s="81">
        <v>0</v>
      </c>
      <c r="Y286" s="84">
        <f t="shared" ref="Y286" si="423">IF(N286&gt;0.01,(T286-VLOOKUP(T286,quincenal,1))*VLOOKUP(T286,quincenal,3)+VLOOKUP(T286,quincenal,2)-VLOOKUP(T286,subquincenal,2),0)</f>
        <v>128.877712</v>
      </c>
      <c r="Z286" s="81">
        <f t="shared" ref="Z286" si="424">TRUNC(IF(Y286&gt;0.01,Y286,0),2)</f>
        <v>128.87</v>
      </c>
      <c r="AA286" s="85">
        <v>0</v>
      </c>
      <c r="AB286" s="85">
        <f t="shared" ref="AB286" si="425">U286-W286-X286-Z286+AA286</f>
        <v>3524.1400000000003</v>
      </c>
      <c r="AC286" s="86"/>
      <c r="AD286" s="190"/>
      <c r="AE286" s="40">
        <v>1</v>
      </c>
      <c r="AG286" s="91"/>
    </row>
    <row r="287" spans="1:33" s="40" customFormat="1" ht="36" customHeight="1">
      <c r="A287" s="105">
        <v>145</v>
      </c>
      <c r="B287" s="190">
        <v>11</v>
      </c>
      <c r="C287" s="190">
        <v>17</v>
      </c>
      <c r="D287" s="64" t="s">
        <v>316</v>
      </c>
      <c r="E287" s="147" t="s">
        <v>432</v>
      </c>
      <c r="F287" s="147" t="s">
        <v>433</v>
      </c>
      <c r="G287" s="66"/>
      <c r="H287" s="67" t="s">
        <v>124</v>
      </c>
      <c r="I287" s="185">
        <v>15</v>
      </c>
      <c r="J287" s="194" t="s">
        <v>272</v>
      </c>
      <c r="K287" s="190"/>
      <c r="L287" s="190">
        <v>0</v>
      </c>
      <c r="M287" s="74">
        <v>0</v>
      </c>
      <c r="N287" s="80">
        <f>3291/15</f>
        <v>219.4</v>
      </c>
      <c r="O287" s="81">
        <f t="shared" ref="O287:O317" si="426">TRUNC(N287*I287,2)</f>
        <v>3291</v>
      </c>
      <c r="P287" s="82">
        <f t="shared" ref="P287:P317" si="427">TRUNC(N287*I287*0.04,2)</f>
        <v>131.63999999999999</v>
      </c>
      <c r="Q287" s="81">
        <f t="shared" ref="Q287:Q317" si="428">TRUNC(N287*0.07*I287,2)</f>
        <v>230.37</v>
      </c>
      <c r="R287" s="83">
        <f t="shared" ref="R287:R317" si="429">L287</f>
        <v>0</v>
      </c>
      <c r="S287" s="81">
        <f t="shared" ref="S287:S317" si="430">TRUNC(Q287+P287+(IF(R287&gt;519,519,R287))+IF(K287=0,0,K287*N287),2)</f>
        <v>362.01</v>
      </c>
      <c r="T287" s="81">
        <f t="shared" ref="T287:T317" si="431">TRUNC((IF(K287=0,I287*N287,(I287-K287)*N287))+(IF(R287&lt;519,0,R287-519)),2)+M287</f>
        <v>3291</v>
      </c>
      <c r="U287" s="81">
        <f t="shared" ref="U287:U317" si="432">S287+T287</f>
        <v>3653.01</v>
      </c>
      <c r="V287" s="81"/>
      <c r="W287" s="81"/>
      <c r="X287" s="81">
        <v>0</v>
      </c>
      <c r="Y287" s="84">
        <f t="shared" ref="Y287:Y317" si="433">IF(N287&gt;0.01,(T287-VLOOKUP(T287,quincenal,1))*VLOOKUP(T287,quincenal,3)+VLOOKUP(T287,quincenal,2)-VLOOKUP(T287,subquincenal,2),0)</f>
        <v>128.877712</v>
      </c>
      <c r="Z287" s="81">
        <f t="shared" ref="Z287:Z317" si="434">TRUNC(IF(Y287&gt;0.01,Y287,0),2)</f>
        <v>128.87</v>
      </c>
      <c r="AA287" s="85">
        <f t="shared" ref="AA287:AA294" si="435">TRUNC(IF(Y287&lt;0.01,-Y287,0),2)</f>
        <v>0</v>
      </c>
      <c r="AB287" s="85">
        <f t="shared" ref="AB287:AB317" si="436">U287-W287-X287-Z287+AA287</f>
        <v>3524.1400000000003</v>
      </c>
      <c r="AC287" s="86" t="e">
        <f>#REF!</f>
        <v>#REF!</v>
      </c>
      <c r="AD287" s="73"/>
      <c r="AE287" s="40">
        <v>2</v>
      </c>
      <c r="AG287" s="91"/>
    </row>
    <row r="288" spans="1:33" s="40" customFormat="1" ht="36" customHeight="1">
      <c r="A288" s="105">
        <v>146</v>
      </c>
      <c r="B288" s="71" t="s">
        <v>113</v>
      </c>
      <c r="C288" s="71" t="s">
        <v>122</v>
      </c>
      <c r="D288" s="64" t="s">
        <v>564</v>
      </c>
      <c r="E288" s="147" t="s">
        <v>435</v>
      </c>
      <c r="F288" s="147" t="s">
        <v>436</v>
      </c>
      <c r="G288" s="66"/>
      <c r="H288" s="67" t="s">
        <v>126</v>
      </c>
      <c r="I288" s="185">
        <v>15</v>
      </c>
      <c r="J288" s="194" t="s">
        <v>272</v>
      </c>
      <c r="K288" s="190"/>
      <c r="L288" s="190">
        <v>0</v>
      </c>
      <c r="M288" s="74">
        <v>0</v>
      </c>
      <c r="N288" s="80">
        <f>3291/15</f>
        <v>219.4</v>
      </c>
      <c r="O288" s="81">
        <f t="shared" si="426"/>
        <v>3291</v>
      </c>
      <c r="P288" s="82">
        <f t="shared" si="427"/>
        <v>131.63999999999999</v>
      </c>
      <c r="Q288" s="81">
        <f t="shared" si="428"/>
        <v>230.37</v>
      </c>
      <c r="R288" s="83">
        <f t="shared" si="429"/>
        <v>0</v>
      </c>
      <c r="S288" s="81">
        <f t="shared" si="430"/>
        <v>362.01</v>
      </c>
      <c r="T288" s="81">
        <f t="shared" si="431"/>
        <v>3291</v>
      </c>
      <c r="U288" s="81">
        <f t="shared" si="432"/>
        <v>3653.01</v>
      </c>
      <c r="V288" s="81"/>
      <c r="W288" s="81"/>
      <c r="X288" s="81">
        <v>0</v>
      </c>
      <c r="Y288" s="84">
        <f t="shared" si="433"/>
        <v>128.877712</v>
      </c>
      <c r="Z288" s="81">
        <f t="shared" si="434"/>
        <v>128.87</v>
      </c>
      <c r="AA288" s="85">
        <f t="shared" si="435"/>
        <v>0</v>
      </c>
      <c r="AB288" s="85">
        <f t="shared" si="436"/>
        <v>3524.1400000000003</v>
      </c>
      <c r="AC288" s="86"/>
      <c r="AD288" s="73"/>
      <c r="AE288" s="40">
        <v>3</v>
      </c>
      <c r="AG288" s="91"/>
    </row>
    <row r="289" spans="1:33" s="40" customFormat="1" ht="36" customHeight="1">
      <c r="A289" s="105">
        <v>147</v>
      </c>
      <c r="B289" s="190">
        <v>11</v>
      </c>
      <c r="C289" s="190">
        <v>17</v>
      </c>
      <c r="D289" s="64" t="s">
        <v>269</v>
      </c>
      <c r="E289" s="102" t="s">
        <v>489</v>
      </c>
      <c r="F289" s="102" t="s">
        <v>490</v>
      </c>
      <c r="G289" s="66"/>
      <c r="H289" s="67" t="s">
        <v>124</v>
      </c>
      <c r="I289" s="72">
        <v>15</v>
      </c>
      <c r="J289" s="72" t="s">
        <v>272</v>
      </c>
      <c r="K289" s="72"/>
      <c r="L289" s="73">
        <v>0</v>
      </c>
      <c r="M289" s="74">
        <v>0</v>
      </c>
      <c r="N289" s="80">
        <f>3291/15</f>
        <v>219.4</v>
      </c>
      <c r="O289" s="81">
        <f t="shared" si="426"/>
        <v>3291</v>
      </c>
      <c r="P289" s="82">
        <f t="shared" si="427"/>
        <v>131.63999999999999</v>
      </c>
      <c r="Q289" s="81">
        <f t="shared" si="428"/>
        <v>230.37</v>
      </c>
      <c r="R289" s="83">
        <f t="shared" si="429"/>
        <v>0</v>
      </c>
      <c r="S289" s="81">
        <f t="shared" si="430"/>
        <v>362.01</v>
      </c>
      <c r="T289" s="81">
        <f t="shared" si="431"/>
        <v>3291</v>
      </c>
      <c r="U289" s="81">
        <f t="shared" si="432"/>
        <v>3653.01</v>
      </c>
      <c r="V289" s="81"/>
      <c r="W289" s="81"/>
      <c r="X289" s="81">
        <v>0</v>
      </c>
      <c r="Y289" s="84">
        <f t="shared" si="433"/>
        <v>128.877712</v>
      </c>
      <c r="Z289" s="81">
        <f t="shared" si="434"/>
        <v>128.87</v>
      </c>
      <c r="AA289" s="85">
        <f t="shared" si="435"/>
        <v>0</v>
      </c>
      <c r="AB289" s="85">
        <f t="shared" si="436"/>
        <v>3524.1400000000003</v>
      </c>
      <c r="AC289" s="86" t="e">
        <f>#REF!</f>
        <v>#REF!</v>
      </c>
      <c r="AD289" s="73"/>
      <c r="AE289" s="40">
        <v>4</v>
      </c>
      <c r="AG289" s="91"/>
    </row>
    <row r="290" spans="1:33" s="40" customFormat="1" ht="36" customHeight="1">
      <c r="A290" s="105"/>
      <c r="B290" s="190"/>
      <c r="C290" s="190"/>
      <c r="D290" s="64" t="s">
        <v>563</v>
      </c>
      <c r="E290" s="102" t="s">
        <v>489</v>
      </c>
      <c r="F290" s="102" t="s">
        <v>490</v>
      </c>
      <c r="G290" s="66"/>
      <c r="H290" s="67" t="s">
        <v>124</v>
      </c>
      <c r="I290" s="72">
        <v>15</v>
      </c>
      <c r="J290" s="72" t="s">
        <v>272</v>
      </c>
      <c r="K290" s="72"/>
      <c r="L290" s="73">
        <v>0</v>
      </c>
      <c r="M290" s="74">
        <v>0</v>
      </c>
      <c r="N290" s="80">
        <f>3291/15</f>
        <v>219.4</v>
      </c>
      <c r="O290" s="81">
        <f t="shared" si="426"/>
        <v>3291</v>
      </c>
      <c r="P290" s="82">
        <f t="shared" si="427"/>
        <v>131.63999999999999</v>
      </c>
      <c r="Q290" s="81">
        <f t="shared" si="428"/>
        <v>230.37</v>
      </c>
      <c r="R290" s="83">
        <f t="shared" si="429"/>
        <v>0</v>
      </c>
      <c r="S290" s="81">
        <f t="shared" si="430"/>
        <v>362.01</v>
      </c>
      <c r="T290" s="81">
        <f t="shared" si="431"/>
        <v>3291</v>
      </c>
      <c r="U290" s="81">
        <f t="shared" si="432"/>
        <v>3653.01</v>
      </c>
      <c r="V290" s="81"/>
      <c r="W290" s="81"/>
      <c r="X290" s="81">
        <v>0</v>
      </c>
      <c r="Y290" s="84">
        <f t="shared" si="433"/>
        <v>128.877712</v>
      </c>
      <c r="Z290" s="81">
        <f t="shared" si="434"/>
        <v>128.87</v>
      </c>
      <c r="AA290" s="85">
        <f t="shared" si="435"/>
        <v>0</v>
      </c>
      <c r="AB290" s="85">
        <f t="shared" si="436"/>
        <v>3524.1400000000003</v>
      </c>
      <c r="AC290" s="86"/>
      <c r="AD290" s="73"/>
      <c r="AE290" s="40">
        <v>5</v>
      </c>
      <c r="AG290" s="91"/>
    </row>
    <row r="291" spans="1:33" s="40" customFormat="1" ht="36" customHeight="1">
      <c r="A291" s="105">
        <v>148</v>
      </c>
      <c r="B291" s="190"/>
      <c r="C291" s="190"/>
      <c r="D291" s="64" t="s">
        <v>671</v>
      </c>
      <c r="E291" s="65"/>
      <c r="F291" s="65"/>
      <c r="G291" s="66"/>
      <c r="H291" s="103" t="s">
        <v>534</v>
      </c>
      <c r="I291" s="72">
        <v>15</v>
      </c>
      <c r="J291" s="72" t="s">
        <v>272</v>
      </c>
      <c r="K291" s="72"/>
      <c r="L291" s="73">
        <v>0</v>
      </c>
      <c r="M291" s="74">
        <v>0</v>
      </c>
      <c r="N291" s="186">
        <v>517.09199999999998</v>
      </c>
      <c r="O291" s="81">
        <f t="shared" si="426"/>
        <v>7756.38</v>
      </c>
      <c r="P291" s="82">
        <f t="shared" si="427"/>
        <v>310.25</v>
      </c>
      <c r="Q291" s="81">
        <f t="shared" si="428"/>
        <v>542.94000000000005</v>
      </c>
      <c r="R291" s="187">
        <f t="shared" si="429"/>
        <v>0</v>
      </c>
      <c r="S291" s="81">
        <f t="shared" si="430"/>
        <v>853.19</v>
      </c>
      <c r="T291" s="81">
        <f t="shared" si="431"/>
        <v>7756.38</v>
      </c>
      <c r="U291" s="81">
        <f t="shared" si="432"/>
        <v>8609.57</v>
      </c>
      <c r="V291" s="81"/>
      <c r="W291" s="81"/>
      <c r="X291" s="81">
        <v>0</v>
      </c>
      <c r="Y291" s="84">
        <f t="shared" si="433"/>
        <v>1109.5735920000002</v>
      </c>
      <c r="Z291" s="81">
        <f t="shared" si="434"/>
        <v>1109.57</v>
      </c>
      <c r="AA291" s="85">
        <f t="shared" si="435"/>
        <v>0</v>
      </c>
      <c r="AB291" s="85">
        <f t="shared" si="436"/>
        <v>7500</v>
      </c>
      <c r="AC291" s="86" t="e">
        <f>#REF!</f>
        <v>#REF!</v>
      </c>
      <c r="AD291" s="73"/>
      <c r="AE291" s="40">
        <v>6</v>
      </c>
      <c r="AG291" s="91"/>
    </row>
    <row r="292" spans="1:33" s="40" customFormat="1" ht="36" customHeight="1">
      <c r="A292" s="105">
        <v>151</v>
      </c>
      <c r="B292" s="179" t="s">
        <v>113</v>
      </c>
      <c r="C292" s="71" t="s">
        <v>122</v>
      </c>
      <c r="D292" s="125" t="s">
        <v>672</v>
      </c>
      <c r="E292" s="100" t="s">
        <v>491</v>
      </c>
      <c r="F292" s="100" t="s">
        <v>492</v>
      </c>
      <c r="G292" s="66"/>
      <c r="H292" s="67" t="s">
        <v>124</v>
      </c>
      <c r="I292" s="72">
        <v>15</v>
      </c>
      <c r="J292" s="72" t="s">
        <v>272</v>
      </c>
      <c r="K292" s="72"/>
      <c r="L292" s="73">
        <v>0</v>
      </c>
      <c r="M292" s="74">
        <v>0</v>
      </c>
      <c r="N292" s="80">
        <f>3291/15</f>
        <v>219.4</v>
      </c>
      <c r="O292" s="81">
        <f t="shared" si="426"/>
        <v>3291</v>
      </c>
      <c r="P292" s="82">
        <f t="shared" si="427"/>
        <v>131.63999999999999</v>
      </c>
      <c r="Q292" s="81">
        <f t="shared" si="428"/>
        <v>230.37</v>
      </c>
      <c r="R292" s="83">
        <f t="shared" si="429"/>
        <v>0</v>
      </c>
      <c r="S292" s="81">
        <f t="shared" si="430"/>
        <v>362.01</v>
      </c>
      <c r="T292" s="81">
        <f t="shared" si="431"/>
        <v>3291</v>
      </c>
      <c r="U292" s="81">
        <f t="shared" si="432"/>
        <v>3653.01</v>
      </c>
      <c r="V292" s="81"/>
      <c r="W292" s="81"/>
      <c r="X292" s="81">
        <v>0</v>
      </c>
      <c r="Y292" s="84">
        <f t="shared" si="433"/>
        <v>128.877712</v>
      </c>
      <c r="Z292" s="81">
        <f t="shared" ref="Z292" si="437">TRUNC(IF(Y292&gt;0.01,Y292,0),2)</f>
        <v>128.87</v>
      </c>
      <c r="AA292" s="85">
        <f t="shared" ref="AA292" si="438">TRUNC(IF(Y292&lt;0.01,-Y292,0),2)</f>
        <v>0</v>
      </c>
      <c r="AB292" s="85">
        <f t="shared" si="436"/>
        <v>3524.1400000000003</v>
      </c>
      <c r="AC292" s="86" t="e">
        <f>#REF!</f>
        <v>#REF!</v>
      </c>
      <c r="AD292" s="190"/>
      <c r="AE292" s="40">
        <v>7</v>
      </c>
      <c r="AG292" s="91"/>
    </row>
    <row r="293" spans="1:33" s="40" customFormat="1" ht="36" customHeight="1">
      <c r="A293" s="105">
        <v>152</v>
      </c>
      <c r="B293" s="71" t="s">
        <v>113</v>
      </c>
      <c r="C293" s="71" t="s">
        <v>122</v>
      </c>
      <c r="D293" s="64" t="s">
        <v>547</v>
      </c>
      <c r="E293" s="150" t="s">
        <v>287</v>
      </c>
      <c r="F293" s="65"/>
      <c r="G293" s="66"/>
      <c r="H293" s="67" t="s">
        <v>124</v>
      </c>
      <c r="I293" s="72">
        <v>15</v>
      </c>
      <c r="J293" s="72" t="s">
        <v>272</v>
      </c>
      <c r="K293" s="72"/>
      <c r="L293" s="73">
        <v>0</v>
      </c>
      <c r="M293" s="74">
        <v>0</v>
      </c>
      <c r="N293" s="80">
        <f>3291/15</f>
        <v>219.4</v>
      </c>
      <c r="O293" s="81">
        <f t="shared" ref="O293" si="439">TRUNC(N293*I293,2)</f>
        <v>3291</v>
      </c>
      <c r="P293" s="82">
        <f t="shared" ref="P293" si="440">TRUNC(N293*I293*0.04,2)</f>
        <v>131.63999999999999</v>
      </c>
      <c r="Q293" s="81">
        <f t="shared" ref="Q293" si="441">TRUNC(N293*0.07*I293,2)</f>
        <v>230.37</v>
      </c>
      <c r="R293" s="83">
        <f t="shared" ref="R293" si="442">L293</f>
        <v>0</v>
      </c>
      <c r="S293" s="81">
        <f t="shared" ref="S293" si="443">TRUNC(Q293+P293+(IF(R293&gt;519,519,R293))+IF(K293=0,0,K293*N293),2)</f>
        <v>362.01</v>
      </c>
      <c r="T293" s="81">
        <f t="shared" ref="T293" si="444">TRUNC((IF(K293=0,I293*N293,(I293-K293)*N293))+(IF(R293&lt;519,0,R293-519)),2)+M293</f>
        <v>3291</v>
      </c>
      <c r="U293" s="81">
        <f t="shared" ref="U293" si="445">S293+T293</f>
        <v>3653.01</v>
      </c>
      <c r="V293" s="81"/>
      <c r="W293" s="81"/>
      <c r="X293" s="81">
        <v>0</v>
      </c>
      <c r="Y293" s="84">
        <f t="shared" ref="Y293" si="446">IF(N293&gt;0.01,(T293-VLOOKUP(T293,quincenal,1))*VLOOKUP(T293,quincenal,3)+VLOOKUP(T293,quincenal,2)-VLOOKUP(T293,subquincenal,2),0)</f>
        <v>128.877712</v>
      </c>
      <c r="Z293" s="81">
        <f t="shared" ref="Z293" si="447">TRUNC(IF(Y293&gt;0.01,Y293,0),2)</f>
        <v>128.87</v>
      </c>
      <c r="AA293" s="85">
        <f t="shared" ref="AA293" si="448">TRUNC(IF(Y293&lt;0.01,-Y293,0),2)</f>
        <v>0</v>
      </c>
      <c r="AB293" s="85">
        <f t="shared" ref="AB293" si="449">U293-W293-X293-Z293+AA293</f>
        <v>3524.1400000000003</v>
      </c>
      <c r="AC293" s="86" t="e">
        <f>#REF!</f>
        <v>#REF!</v>
      </c>
      <c r="AD293" s="73"/>
      <c r="AE293" s="40">
        <v>8</v>
      </c>
      <c r="AG293" s="91"/>
    </row>
    <row r="294" spans="1:33" s="40" customFormat="1" ht="36" customHeight="1">
      <c r="A294" s="105">
        <v>155</v>
      </c>
      <c r="B294" s="71" t="s">
        <v>113</v>
      </c>
      <c r="C294" s="71" t="s">
        <v>122</v>
      </c>
      <c r="D294" s="64" t="s">
        <v>548</v>
      </c>
      <c r="E294" s="147" t="s">
        <v>430</v>
      </c>
      <c r="F294" s="147" t="s">
        <v>434</v>
      </c>
      <c r="G294" s="66"/>
      <c r="H294" s="67" t="s">
        <v>126</v>
      </c>
      <c r="I294" s="72">
        <v>15</v>
      </c>
      <c r="J294" s="72" t="s">
        <v>272</v>
      </c>
      <c r="K294" s="72"/>
      <c r="L294" s="73">
        <v>0</v>
      </c>
      <c r="M294" s="74">
        <v>0</v>
      </c>
      <c r="N294" s="80">
        <f>3291/15</f>
        <v>219.4</v>
      </c>
      <c r="O294" s="81">
        <f t="shared" si="426"/>
        <v>3291</v>
      </c>
      <c r="P294" s="82">
        <f t="shared" si="427"/>
        <v>131.63999999999999</v>
      </c>
      <c r="Q294" s="81">
        <f t="shared" si="428"/>
        <v>230.37</v>
      </c>
      <c r="R294" s="83">
        <f t="shared" si="429"/>
        <v>0</v>
      </c>
      <c r="S294" s="81">
        <f t="shared" si="430"/>
        <v>362.01</v>
      </c>
      <c r="T294" s="81">
        <f t="shared" si="431"/>
        <v>3291</v>
      </c>
      <c r="U294" s="81">
        <f t="shared" si="432"/>
        <v>3653.01</v>
      </c>
      <c r="V294" s="81"/>
      <c r="W294" s="81"/>
      <c r="X294" s="81">
        <v>0</v>
      </c>
      <c r="Y294" s="84">
        <f t="shared" si="433"/>
        <v>128.877712</v>
      </c>
      <c r="Z294" s="81">
        <f t="shared" si="434"/>
        <v>128.87</v>
      </c>
      <c r="AA294" s="85">
        <f t="shared" si="435"/>
        <v>0</v>
      </c>
      <c r="AB294" s="85">
        <f t="shared" si="436"/>
        <v>3524.1400000000003</v>
      </c>
      <c r="AC294" s="86" t="e">
        <f>#REF!</f>
        <v>#REF!</v>
      </c>
      <c r="AD294" s="235"/>
      <c r="AE294" s="40">
        <v>9</v>
      </c>
      <c r="AG294" s="91"/>
    </row>
    <row r="295" spans="1:33" s="40" customFormat="1" ht="36" customHeight="1">
      <c r="A295" s="105">
        <v>157</v>
      </c>
      <c r="B295" s="71" t="s">
        <v>113</v>
      </c>
      <c r="C295" s="71" t="s">
        <v>122</v>
      </c>
      <c r="D295" s="64" t="s">
        <v>282</v>
      </c>
      <c r="E295" s="150" t="s">
        <v>285</v>
      </c>
      <c r="F295" s="65"/>
      <c r="G295" s="66"/>
      <c r="H295" s="67" t="s">
        <v>124</v>
      </c>
      <c r="I295" s="72">
        <v>15</v>
      </c>
      <c r="J295" s="72" t="s">
        <v>272</v>
      </c>
      <c r="K295" s="72"/>
      <c r="L295" s="73">
        <v>0</v>
      </c>
      <c r="M295" s="74">
        <v>0</v>
      </c>
      <c r="N295" s="80">
        <f>3291/15</f>
        <v>219.4</v>
      </c>
      <c r="O295" s="81">
        <f t="shared" si="426"/>
        <v>3291</v>
      </c>
      <c r="P295" s="82">
        <f t="shared" si="427"/>
        <v>131.63999999999999</v>
      </c>
      <c r="Q295" s="81">
        <f t="shared" si="428"/>
        <v>230.37</v>
      </c>
      <c r="R295" s="83">
        <f t="shared" si="429"/>
        <v>0</v>
      </c>
      <c r="S295" s="81">
        <f t="shared" si="430"/>
        <v>362.01</v>
      </c>
      <c r="T295" s="81">
        <f t="shared" si="431"/>
        <v>3291</v>
      </c>
      <c r="U295" s="81">
        <f t="shared" si="432"/>
        <v>3653.01</v>
      </c>
      <c r="V295" s="81"/>
      <c r="W295" s="81">
        <v>0</v>
      </c>
      <c r="X295" s="81">
        <v>0</v>
      </c>
      <c r="Y295" s="84">
        <f t="shared" si="433"/>
        <v>128.877712</v>
      </c>
      <c r="Z295" s="81">
        <f t="shared" si="434"/>
        <v>128.87</v>
      </c>
      <c r="AA295" s="85">
        <v>0</v>
      </c>
      <c r="AB295" s="85">
        <f t="shared" si="436"/>
        <v>3524.1400000000003</v>
      </c>
      <c r="AC295" s="86" t="e">
        <f>#REF!</f>
        <v>#REF!</v>
      </c>
      <c r="AD295" s="73"/>
      <c r="AE295" s="40">
        <v>10</v>
      </c>
      <c r="AG295" s="91"/>
    </row>
    <row r="296" spans="1:33" s="40" customFormat="1" ht="36" customHeight="1">
      <c r="A296" s="105"/>
      <c r="B296" s="71"/>
      <c r="C296" s="71"/>
      <c r="D296" s="64" t="s">
        <v>536</v>
      </c>
      <c r="E296" s="236" t="s">
        <v>285</v>
      </c>
      <c r="F296" s="237"/>
      <c r="G296" s="238"/>
      <c r="H296" s="67" t="s">
        <v>124</v>
      </c>
      <c r="I296" s="72">
        <v>15</v>
      </c>
      <c r="J296" s="72" t="s">
        <v>272</v>
      </c>
      <c r="K296" s="72"/>
      <c r="L296" s="73">
        <v>0</v>
      </c>
      <c r="M296" s="74">
        <v>0</v>
      </c>
      <c r="N296" s="80">
        <f>3291/15</f>
        <v>219.4</v>
      </c>
      <c r="O296" s="81">
        <f t="shared" si="426"/>
        <v>3291</v>
      </c>
      <c r="P296" s="82">
        <f t="shared" si="427"/>
        <v>131.63999999999999</v>
      </c>
      <c r="Q296" s="81">
        <f t="shared" si="428"/>
        <v>230.37</v>
      </c>
      <c r="R296" s="83">
        <f t="shared" si="429"/>
        <v>0</v>
      </c>
      <c r="S296" s="81">
        <f t="shared" si="430"/>
        <v>362.01</v>
      </c>
      <c r="T296" s="81">
        <f t="shared" si="431"/>
        <v>3291</v>
      </c>
      <c r="U296" s="81">
        <f t="shared" si="432"/>
        <v>3653.01</v>
      </c>
      <c r="V296" s="81"/>
      <c r="W296" s="81"/>
      <c r="X296" s="81">
        <v>0</v>
      </c>
      <c r="Y296" s="84">
        <f t="shared" si="433"/>
        <v>128.877712</v>
      </c>
      <c r="Z296" s="81">
        <f t="shared" si="434"/>
        <v>128.87</v>
      </c>
      <c r="AA296" s="85">
        <f t="shared" ref="AA296:AA317" si="450">TRUNC(IF(Y296&lt;0.01,-Y296,0),2)</f>
        <v>0</v>
      </c>
      <c r="AB296" s="85">
        <f t="shared" si="436"/>
        <v>3524.1400000000003</v>
      </c>
      <c r="AC296" s="86"/>
      <c r="AD296" s="73"/>
      <c r="AE296" s="40">
        <v>11</v>
      </c>
      <c r="AG296" s="91"/>
    </row>
    <row r="297" spans="1:33" s="40" customFormat="1" ht="36" customHeight="1">
      <c r="A297" s="105">
        <v>158</v>
      </c>
      <c r="B297" s="71" t="s">
        <v>113</v>
      </c>
      <c r="C297" s="71" t="s">
        <v>122</v>
      </c>
      <c r="D297" s="64" t="s">
        <v>370</v>
      </c>
      <c r="E297" s="239" t="s">
        <v>268</v>
      </c>
      <c r="F297" s="43"/>
      <c r="G297" s="238"/>
      <c r="H297" s="67" t="s">
        <v>369</v>
      </c>
      <c r="I297" s="72">
        <v>15</v>
      </c>
      <c r="J297" s="72" t="s">
        <v>272</v>
      </c>
      <c r="K297" s="72"/>
      <c r="L297" s="73">
        <v>0</v>
      </c>
      <c r="M297" s="74">
        <v>0</v>
      </c>
      <c r="N297" s="80">
        <f>4385/15</f>
        <v>292.33333333333331</v>
      </c>
      <c r="O297" s="81">
        <f t="shared" si="426"/>
        <v>4385</v>
      </c>
      <c r="P297" s="82">
        <f t="shared" si="427"/>
        <v>175.4</v>
      </c>
      <c r="Q297" s="81">
        <f t="shared" si="428"/>
        <v>306.95</v>
      </c>
      <c r="R297" s="83">
        <f t="shared" si="429"/>
        <v>0</v>
      </c>
      <c r="S297" s="81">
        <f t="shared" si="430"/>
        <v>482.35</v>
      </c>
      <c r="T297" s="81">
        <f t="shared" si="431"/>
        <v>4385</v>
      </c>
      <c r="U297" s="81">
        <f t="shared" si="432"/>
        <v>4867.3500000000004</v>
      </c>
      <c r="V297" s="81"/>
      <c r="W297" s="81"/>
      <c r="X297" s="81">
        <v>0</v>
      </c>
      <c r="Y297" s="84">
        <f t="shared" si="433"/>
        <v>413.29748800000004</v>
      </c>
      <c r="Z297" s="81">
        <f t="shared" si="434"/>
        <v>413.29</v>
      </c>
      <c r="AA297" s="85">
        <f t="shared" si="450"/>
        <v>0</v>
      </c>
      <c r="AB297" s="85">
        <f t="shared" si="436"/>
        <v>4454.0600000000004</v>
      </c>
      <c r="AC297" s="86" t="e">
        <f>#REF!</f>
        <v>#REF!</v>
      </c>
      <c r="AD297" s="73"/>
      <c r="AE297" s="40">
        <v>12</v>
      </c>
      <c r="AG297" s="91"/>
    </row>
    <row r="298" spans="1:33" s="40" customFormat="1" ht="36" customHeight="1">
      <c r="A298" s="105">
        <v>159</v>
      </c>
      <c r="B298" s="179" t="s">
        <v>113</v>
      </c>
      <c r="C298" s="71" t="s">
        <v>122</v>
      </c>
      <c r="D298" s="64" t="s">
        <v>567</v>
      </c>
      <c r="E298" s="150"/>
      <c r="F298" s="65"/>
      <c r="G298" s="66"/>
      <c r="H298" s="67" t="s">
        <v>124</v>
      </c>
      <c r="I298" s="72">
        <v>15</v>
      </c>
      <c r="J298" s="72" t="s">
        <v>272</v>
      </c>
      <c r="K298" s="72"/>
      <c r="L298" s="73">
        <v>0</v>
      </c>
      <c r="M298" s="74">
        <v>0</v>
      </c>
      <c r="N298" s="80">
        <f>3291/15</f>
        <v>219.4</v>
      </c>
      <c r="O298" s="81">
        <f t="shared" si="426"/>
        <v>3291</v>
      </c>
      <c r="P298" s="82">
        <f t="shared" si="427"/>
        <v>131.63999999999999</v>
      </c>
      <c r="Q298" s="81">
        <f t="shared" si="428"/>
        <v>230.37</v>
      </c>
      <c r="R298" s="83">
        <f t="shared" si="429"/>
        <v>0</v>
      </c>
      <c r="S298" s="81">
        <f t="shared" si="430"/>
        <v>362.01</v>
      </c>
      <c r="T298" s="81">
        <f t="shared" si="431"/>
        <v>3291</v>
      </c>
      <c r="U298" s="81">
        <f t="shared" si="432"/>
        <v>3653.01</v>
      </c>
      <c r="V298" s="81"/>
      <c r="W298" s="81">
        <v>0</v>
      </c>
      <c r="X298" s="81">
        <v>0</v>
      </c>
      <c r="Y298" s="84">
        <f t="shared" si="433"/>
        <v>128.877712</v>
      </c>
      <c r="Z298" s="81">
        <f t="shared" si="434"/>
        <v>128.87</v>
      </c>
      <c r="AA298" s="85">
        <f t="shared" si="450"/>
        <v>0</v>
      </c>
      <c r="AB298" s="85">
        <f t="shared" si="436"/>
        <v>3524.1400000000003</v>
      </c>
      <c r="AC298" s="86" t="e">
        <f>#REF!</f>
        <v>#REF!</v>
      </c>
      <c r="AD298" s="73"/>
      <c r="AE298" s="40">
        <v>13</v>
      </c>
      <c r="AG298" s="91"/>
    </row>
    <row r="299" spans="1:33" s="40" customFormat="1" ht="36" customHeight="1">
      <c r="A299" s="105">
        <v>160</v>
      </c>
      <c r="B299" s="71" t="s">
        <v>113</v>
      </c>
      <c r="C299" s="71" t="s">
        <v>122</v>
      </c>
      <c r="D299" s="64" t="s">
        <v>560</v>
      </c>
      <c r="E299" s="150"/>
      <c r="F299" s="65"/>
      <c r="G299" s="66"/>
      <c r="H299" s="67" t="s">
        <v>369</v>
      </c>
      <c r="I299" s="72">
        <v>15</v>
      </c>
      <c r="J299" s="72" t="s">
        <v>272</v>
      </c>
      <c r="K299" s="72"/>
      <c r="L299" s="73">
        <v>0</v>
      </c>
      <c r="M299" s="74">
        <v>0</v>
      </c>
      <c r="N299" s="80">
        <f>4385/15</f>
        <v>292.33333333333331</v>
      </c>
      <c r="O299" s="81">
        <f t="shared" si="426"/>
        <v>4385</v>
      </c>
      <c r="P299" s="82">
        <f t="shared" si="427"/>
        <v>175.4</v>
      </c>
      <c r="Q299" s="81">
        <f t="shared" si="428"/>
        <v>306.95</v>
      </c>
      <c r="R299" s="83">
        <f t="shared" si="429"/>
        <v>0</v>
      </c>
      <c r="S299" s="81">
        <f t="shared" si="430"/>
        <v>482.35</v>
      </c>
      <c r="T299" s="81">
        <f t="shared" si="431"/>
        <v>4385</v>
      </c>
      <c r="U299" s="81">
        <f t="shared" si="432"/>
        <v>4867.3500000000004</v>
      </c>
      <c r="V299" s="81"/>
      <c r="W299" s="81"/>
      <c r="X299" s="81">
        <v>0</v>
      </c>
      <c r="Y299" s="84">
        <f t="shared" si="433"/>
        <v>413.29748800000004</v>
      </c>
      <c r="Z299" s="81">
        <f t="shared" si="434"/>
        <v>413.29</v>
      </c>
      <c r="AA299" s="85">
        <f t="shared" si="450"/>
        <v>0</v>
      </c>
      <c r="AB299" s="85">
        <f t="shared" si="436"/>
        <v>4454.0600000000004</v>
      </c>
      <c r="AC299" s="86" t="e">
        <f>#REF!</f>
        <v>#REF!</v>
      </c>
      <c r="AD299" s="73"/>
      <c r="AE299" s="40">
        <v>14</v>
      </c>
      <c r="AG299" s="91"/>
    </row>
    <row r="300" spans="1:33" s="40" customFormat="1" ht="36" customHeight="1">
      <c r="A300" s="105"/>
      <c r="B300" s="71"/>
      <c r="C300" s="71"/>
      <c r="D300" s="64" t="s">
        <v>673</v>
      </c>
      <c r="E300" s="150"/>
      <c r="F300" s="65"/>
      <c r="G300" s="66"/>
      <c r="H300" s="67" t="s">
        <v>126</v>
      </c>
      <c r="I300" s="72">
        <v>15</v>
      </c>
      <c r="J300" s="72" t="s">
        <v>272</v>
      </c>
      <c r="K300" s="72"/>
      <c r="L300" s="73">
        <v>0</v>
      </c>
      <c r="M300" s="74">
        <v>0</v>
      </c>
      <c r="N300" s="80">
        <f t="shared" ref="N300:N316" si="451">3291/15</f>
        <v>219.4</v>
      </c>
      <c r="O300" s="81">
        <f t="shared" si="426"/>
        <v>3291</v>
      </c>
      <c r="P300" s="82">
        <f t="shared" si="427"/>
        <v>131.63999999999999</v>
      </c>
      <c r="Q300" s="81">
        <f t="shared" si="428"/>
        <v>230.37</v>
      </c>
      <c r="R300" s="83">
        <f t="shared" si="429"/>
        <v>0</v>
      </c>
      <c r="S300" s="81">
        <f t="shared" si="430"/>
        <v>362.01</v>
      </c>
      <c r="T300" s="81">
        <f t="shared" si="431"/>
        <v>3291</v>
      </c>
      <c r="U300" s="81">
        <f t="shared" si="432"/>
        <v>3653.01</v>
      </c>
      <c r="V300" s="81"/>
      <c r="W300" s="81"/>
      <c r="X300" s="81">
        <v>0</v>
      </c>
      <c r="Y300" s="84">
        <f t="shared" si="433"/>
        <v>128.877712</v>
      </c>
      <c r="Z300" s="81">
        <f t="shared" si="434"/>
        <v>128.87</v>
      </c>
      <c r="AA300" s="85">
        <f t="shared" si="450"/>
        <v>0</v>
      </c>
      <c r="AB300" s="85">
        <f t="shared" si="436"/>
        <v>3524.1400000000003</v>
      </c>
      <c r="AC300" s="86" t="e">
        <f>#REF!</f>
        <v>#REF!</v>
      </c>
      <c r="AD300" s="73"/>
      <c r="AE300" s="40">
        <v>15</v>
      </c>
      <c r="AG300" s="91"/>
    </row>
    <row r="301" spans="1:33" s="40" customFormat="1" ht="36" customHeight="1">
      <c r="A301" s="105"/>
      <c r="B301" s="71"/>
      <c r="C301" s="71"/>
      <c r="D301" s="64" t="s">
        <v>674</v>
      </c>
      <c r="E301" s="147"/>
      <c r="F301" s="147"/>
      <c r="G301" s="66"/>
      <c r="H301" s="67" t="s">
        <v>126</v>
      </c>
      <c r="I301" s="72">
        <v>15</v>
      </c>
      <c r="J301" s="72" t="s">
        <v>272</v>
      </c>
      <c r="K301" s="72"/>
      <c r="L301" s="73">
        <v>0</v>
      </c>
      <c r="M301" s="74">
        <v>0</v>
      </c>
      <c r="N301" s="80">
        <f t="shared" si="451"/>
        <v>219.4</v>
      </c>
      <c r="O301" s="81">
        <f t="shared" si="426"/>
        <v>3291</v>
      </c>
      <c r="P301" s="82">
        <f t="shared" si="427"/>
        <v>131.63999999999999</v>
      </c>
      <c r="Q301" s="81">
        <f t="shared" si="428"/>
        <v>230.37</v>
      </c>
      <c r="R301" s="83">
        <f t="shared" si="429"/>
        <v>0</v>
      </c>
      <c r="S301" s="81">
        <f t="shared" si="430"/>
        <v>362.01</v>
      </c>
      <c r="T301" s="81">
        <f t="shared" si="431"/>
        <v>3291</v>
      </c>
      <c r="U301" s="81">
        <f t="shared" si="432"/>
        <v>3653.01</v>
      </c>
      <c r="V301" s="81"/>
      <c r="W301" s="81"/>
      <c r="X301" s="81">
        <v>0</v>
      </c>
      <c r="Y301" s="84">
        <f t="shared" si="433"/>
        <v>128.877712</v>
      </c>
      <c r="Z301" s="81">
        <f t="shared" si="434"/>
        <v>128.87</v>
      </c>
      <c r="AA301" s="85">
        <f t="shared" si="450"/>
        <v>0</v>
      </c>
      <c r="AB301" s="85">
        <f t="shared" si="436"/>
        <v>3524.1400000000003</v>
      </c>
      <c r="AC301" s="86"/>
      <c r="AD301" s="73"/>
      <c r="AE301" s="40">
        <v>16</v>
      </c>
      <c r="AG301" s="91"/>
    </row>
    <row r="302" spans="1:33" s="40" customFormat="1" ht="36" customHeight="1">
      <c r="A302" s="105"/>
      <c r="B302" s="71"/>
      <c r="C302" s="71"/>
      <c r="D302" s="64" t="s">
        <v>556</v>
      </c>
      <c r="E302" s="147"/>
      <c r="F302" s="147"/>
      <c r="G302" s="66"/>
      <c r="H302" s="67" t="s">
        <v>126</v>
      </c>
      <c r="I302" s="72">
        <v>15</v>
      </c>
      <c r="J302" s="72" t="s">
        <v>272</v>
      </c>
      <c r="K302" s="72"/>
      <c r="L302" s="73">
        <v>0</v>
      </c>
      <c r="M302" s="74">
        <v>0</v>
      </c>
      <c r="N302" s="80">
        <f t="shared" si="451"/>
        <v>219.4</v>
      </c>
      <c r="O302" s="81">
        <f t="shared" si="426"/>
        <v>3291</v>
      </c>
      <c r="P302" s="82">
        <f t="shared" si="427"/>
        <v>131.63999999999999</v>
      </c>
      <c r="Q302" s="81">
        <f t="shared" si="428"/>
        <v>230.37</v>
      </c>
      <c r="R302" s="83">
        <f t="shared" si="429"/>
        <v>0</v>
      </c>
      <c r="S302" s="81">
        <f t="shared" si="430"/>
        <v>362.01</v>
      </c>
      <c r="T302" s="81">
        <f t="shared" si="431"/>
        <v>3291</v>
      </c>
      <c r="U302" s="81">
        <f t="shared" si="432"/>
        <v>3653.01</v>
      </c>
      <c r="V302" s="81"/>
      <c r="W302" s="81"/>
      <c r="X302" s="81">
        <v>0</v>
      </c>
      <c r="Y302" s="84">
        <f t="shared" si="433"/>
        <v>128.877712</v>
      </c>
      <c r="Z302" s="81">
        <f t="shared" si="434"/>
        <v>128.87</v>
      </c>
      <c r="AA302" s="85">
        <f t="shared" si="450"/>
        <v>0</v>
      </c>
      <c r="AB302" s="85">
        <f t="shared" si="436"/>
        <v>3524.1400000000003</v>
      </c>
      <c r="AC302" s="86" t="e">
        <f>#REF!</f>
        <v>#REF!</v>
      </c>
      <c r="AD302" s="73"/>
      <c r="AE302" s="40">
        <v>17</v>
      </c>
      <c r="AG302" s="91"/>
    </row>
    <row r="303" spans="1:33" s="40" customFormat="1" ht="36" customHeight="1">
      <c r="A303" s="105">
        <v>161</v>
      </c>
      <c r="B303" s="179" t="s">
        <v>113</v>
      </c>
      <c r="C303" s="71" t="s">
        <v>122</v>
      </c>
      <c r="D303" s="64" t="s">
        <v>565</v>
      </c>
      <c r="E303" s="147" t="s">
        <v>184</v>
      </c>
      <c r="F303" s="147" t="s">
        <v>221</v>
      </c>
      <c r="G303" s="148">
        <v>39083</v>
      </c>
      <c r="H303" s="67" t="s">
        <v>126</v>
      </c>
      <c r="I303" s="72">
        <v>15</v>
      </c>
      <c r="J303" s="72" t="s">
        <v>272</v>
      </c>
      <c r="K303" s="72"/>
      <c r="L303" s="73">
        <v>0</v>
      </c>
      <c r="M303" s="74">
        <v>0</v>
      </c>
      <c r="N303" s="80">
        <f t="shared" si="451"/>
        <v>219.4</v>
      </c>
      <c r="O303" s="81">
        <f t="shared" si="426"/>
        <v>3291</v>
      </c>
      <c r="P303" s="82">
        <f t="shared" si="427"/>
        <v>131.63999999999999</v>
      </c>
      <c r="Q303" s="81">
        <f t="shared" si="428"/>
        <v>230.37</v>
      </c>
      <c r="R303" s="83">
        <f t="shared" si="429"/>
        <v>0</v>
      </c>
      <c r="S303" s="81">
        <f t="shared" si="430"/>
        <v>362.01</v>
      </c>
      <c r="T303" s="81">
        <f t="shared" si="431"/>
        <v>3291</v>
      </c>
      <c r="U303" s="81">
        <f t="shared" si="432"/>
        <v>3653.01</v>
      </c>
      <c r="V303" s="81"/>
      <c r="W303" s="81"/>
      <c r="X303" s="81">
        <v>0</v>
      </c>
      <c r="Y303" s="84">
        <f t="shared" si="433"/>
        <v>128.877712</v>
      </c>
      <c r="Z303" s="81">
        <f t="shared" si="434"/>
        <v>128.87</v>
      </c>
      <c r="AA303" s="85">
        <f t="shared" si="450"/>
        <v>0</v>
      </c>
      <c r="AB303" s="85">
        <f t="shared" si="436"/>
        <v>3524.1400000000003</v>
      </c>
      <c r="AC303" s="86" t="e">
        <f>#REF!</f>
        <v>#REF!</v>
      </c>
      <c r="AD303" s="73"/>
      <c r="AE303" s="40">
        <v>18</v>
      </c>
      <c r="AG303" s="91"/>
    </row>
    <row r="304" spans="1:33" s="40" customFormat="1" ht="36" customHeight="1">
      <c r="A304" s="105">
        <v>162</v>
      </c>
      <c r="B304" s="190" t="s">
        <v>113</v>
      </c>
      <c r="C304" s="190" t="s">
        <v>122</v>
      </c>
      <c r="D304" s="64" t="s">
        <v>561</v>
      </c>
      <c r="E304" s="147"/>
      <c r="F304" s="147"/>
      <c r="G304" s="66"/>
      <c r="H304" s="67" t="s">
        <v>126</v>
      </c>
      <c r="I304" s="72">
        <v>15</v>
      </c>
      <c r="J304" s="72" t="s">
        <v>272</v>
      </c>
      <c r="K304" s="72"/>
      <c r="L304" s="73">
        <v>0</v>
      </c>
      <c r="M304" s="74">
        <v>0</v>
      </c>
      <c r="N304" s="80">
        <f t="shared" si="451"/>
        <v>219.4</v>
      </c>
      <c r="O304" s="81">
        <f t="shared" si="426"/>
        <v>3291</v>
      </c>
      <c r="P304" s="82">
        <f t="shared" si="427"/>
        <v>131.63999999999999</v>
      </c>
      <c r="Q304" s="81">
        <f t="shared" si="428"/>
        <v>230.37</v>
      </c>
      <c r="R304" s="83">
        <f t="shared" si="429"/>
        <v>0</v>
      </c>
      <c r="S304" s="81">
        <f t="shared" si="430"/>
        <v>362.01</v>
      </c>
      <c r="T304" s="81">
        <f t="shared" si="431"/>
        <v>3291</v>
      </c>
      <c r="U304" s="81">
        <f t="shared" si="432"/>
        <v>3653.01</v>
      </c>
      <c r="V304" s="81"/>
      <c r="W304" s="81"/>
      <c r="X304" s="81">
        <v>0</v>
      </c>
      <c r="Y304" s="84">
        <f t="shared" si="433"/>
        <v>128.877712</v>
      </c>
      <c r="Z304" s="81">
        <f t="shared" si="434"/>
        <v>128.87</v>
      </c>
      <c r="AA304" s="85">
        <f t="shared" si="450"/>
        <v>0</v>
      </c>
      <c r="AB304" s="85">
        <f t="shared" si="436"/>
        <v>3524.1400000000003</v>
      </c>
      <c r="AC304" s="86" t="e">
        <f>#REF!</f>
        <v>#REF!</v>
      </c>
      <c r="AD304" s="73"/>
      <c r="AE304" s="40">
        <v>19</v>
      </c>
      <c r="AG304" s="91"/>
    </row>
    <row r="305" spans="1:33" s="40" customFormat="1" ht="36" customHeight="1">
      <c r="A305" s="105"/>
      <c r="B305" s="190"/>
      <c r="C305" s="190"/>
      <c r="D305" s="125" t="s">
        <v>284</v>
      </c>
      <c r="E305" s="150" t="s">
        <v>283</v>
      </c>
      <c r="F305" s="65"/>
      <c r="G305" s="66"/>
      <c r="H305" s="67" t="s">
        <v>124</v>
      </c>
      <c r="I305" s="72">
        <v>15</v>
      </c>
      <c r="J305" s="72" t="s">
        <v>272</v>
      </c>
      <c r="K305" s="72"/>
      <c r="L305" s="73">
        <v>0</v>
      </c>
      <c r="M305" s="74">
        <v>0</v>
      </c>
      <c r="N305" s="80">
        <f t="shared" si="451"/>
        <v>219.4</v>
      </c>
      <c r="O305" s="81">
        <f t="shared" si="426"/>
        <v>3291</v>
      </c>
      <c r="P305" s="82">
        <f t="shared" si="427"/>
        <v>131.63999999999999</v>
      </c>
      <c r="Q305" s="81">
        <f t="shared" si="428"/>
        <v>230.37</v>
      </c>
      <c r="R305" s="83">
        <f t="shared" si="429"/>
        <v>0</v>
      </c>
      <c r="S305" s="81">
        <f t="shared" si="430"/>
        <v>362.01</v>
      </c>
      <c r="T305" s="81">
        <f t="shared" si="431"/>
        <v>3291</v>
      </c>
      <c r="U305" s="81">
        <f t="shared" si="432"/>
        <v>3653.01</v>
      </c>
      <c r="V305" s="81"/>
      <c r="W305" s="81"/>
      <c r="X305" s="81">
        <v>0</v>
      </c>
      <c r="Y305" s="84">
        <f t="shared" si="433"/>
        <v>128.877712</v>
      </c>
      <c r="Z305" s="81">
        <f t="shared" si="434"/>
        <v>128.87</v>
      </c>
      <c r="AA305" s="85">
        <f t="shared" si="450"/>
        <v>0</v>
      </c>
      <c r="AB305" s="85">
        <f t="shared" si="436"/>
        <v>3524.1400000000003</v>
      </c>
      <c r="AC305" s="86"/>
      <c r="AD305" s="73"/>
      <c r="AE305" s="40">
        <v>20</v>
      </c>
      <c r="AG305" s="91"/>
    </row>
    <row r="306" spans="1:33" s="40" customFormat="1" ht="36" customHeight="1">
      <c r="A306" s="105"/>
      <c r="B306" s="190"/>
      <c r="C306" s="190"/>
      <c r="D306" s="125" t="s">
        <v>675</v>
      </c>
      <c r="E306" s="65"/>
      <c r="F306" s="65"/>
      <c r="G306" s="66"/>
      <c r="H306" s="67" t="s">
        <v>124</v>
      </c>
      <c r="I306" s="72">
        <v>15</v>
      </c>
      <c r="J306" s="72" t="s">
        <v>272</v>
      </c>
      <c r="K306" s="72"/>
      <c r="L306" s="73">
        <v>0</v>
      </c>
      <c r="M306" s="74">
        <v>0</v>
      </c>
      <c r="N306" s="80">
        <f t="shared" si="451"/>
        <v>219.4</v>
      </c>
      <c r="O306" s="81">
        <f t="shared" si="426"/>
        <v>3291</v>
      </c>
      <c r="P306" s="82">
        <f t="shared" si="427"/>
        <v>131.63999999999999</v>
      </c>
      <c r="Q306" s="81">
        <f t="shared" si="428"/>
        <v>230.37</v>
      </c>
      <c r="R306" s="83">
        <f t="shared" si="429"/>
        <v>0</v>
      </c>
      <c r="S306" s="81">
        <f t="shared" si="430"/>
        <v>362.01</v>
      </c>
      <c r="T306" s="81">
        <f t="shared" si="431"/>
        <v>3291</v>
      </c>
      <c r="U306" s="81">
        <f t="shared" si="432"/>
        <v>3653.01</v>
      </c>
      <c r="V306" s="81"/>
      <c r="W306" s="81">
        <v>0</v>
      </c>
      <c r="X306" s="81">
        <v>0</v>
      </c>
      <c r="Y306" s="84">
        <f t="shared" si="433"/>
        <v>128.877712</v>
      </c>
      <c r="Z306" s="81">
        <f t="shared" si="434"/>
        <v>128.87</v>
      </c>
      <c r="AA306" s="85">
        <f t="shared" si="450"/>
        <v>0</v>
      </c>
      <c r="AB306" s="85">
        <f t="shared" si="436"/>
        <v>3524.1400000000003</v>
      </c>
      <c r="AC306" s="86"/>
      <c r="AD306" s="73"/>
      <c r="AE306" s="40">
        <v>21</v>
      </c>
      <c r="AG306" s="91"/>
    </row>
    <row r="307" spans="1:33" s="40" customFormat="1" ht="36" customHeight="1">
      <c r="A307" s="105"/>
      <c r="B307" s="190"/>
      <c r="C307" s="190"/>
      <c r="D307" s="125" t="s">
        <v>562</v>
      </c>
      <c r="E307" s="147"/>
      <c r="F307" s="147"/>
      <c r="G307" s="66"/>
      <c r="H307" s="67" t="s">
        <v>126</v>
      </c>
      <c r="I307" s="72">
        <v>15</v>
      </c>
      <c r="J307" s="72" t="s">
        <v>272</v>
      </c>
      <c r="K307" s="72"/>
      <c r="L307" s="73">
        <v>0</v>
      </c>
      <c r="M307" s="74">
        <v>0</v>
      </c>
      <c r="N307" s="80">
        <f t="shared" si="451"/>
        <v>219.4</v>
      </c>
      <c r="O307" s="81">
        <f t="shared" si="426"/>
        <v>3291</v>
      </c>
      <c r="P307" s="82">
        <f t="shared" si="427"/>
        <v>131.63999999999999</v>
      </c>
      <c r="Q307" s="81">
        <f t="shared" si="428"/>
        <v>230.37</v>
      </c>
      <c r="R307" s="83">
        <f t="shared" si="429"/>
        <v>0</v>
      </c>
      <c r="S307" s="81">
        <f t="shared" si="430"/>
        <v>362.01</v>
      </c>
      <c r="T307" s="81">
        <f t="shared" si="431"/>
        <v>3291</v>
      </c>
      <c r="U307" s="81">
        <f t="shared" si="432"/>
        <v>3653.01</v>
      </c>
      <c r="V307" s="81"/>
      <c r="W307" s="81"/>
      <c r="X307" s="81">
        <v>0</v>
      </c>
      <c r="Y307" s="84">
        <f t="shared" si="433"/>
        <v>128.877712</v>
      </c>
      <c r="Z307" s="81">
        <f t="shared" si="434"/>
        <v>128.87</v>
      </c>
      <c r="AA307" s="85">
        <f t="shared" si="450"/>
        <v>0</v>
      </c>
      <c r="AB307" s="85">
        <f t="shared" si="436"/>
        <v>3524.1400000000003</v>
      </c>
      <c r="AC307" s="86"/>
      <c r="AD307" s="73"/>
      <c r="AE307" s="40">
        <v>22</v>
      </c>
      <c r="AG307" s="91"/>
    </row>
    <row r="308" spans="1:33" s="40" customFormat="1" ht="36" customHeight="1">
      <c r="A308" s="105">
        <v>167</v>
      </c>
      <c r="B308" s="71" t="s">
        <v>113</v>
      </c>
      <c r="C308" s="71" t="s">
        <v>122</v>
      </c>
      <c r="D308" s="125" t="s">
        <v>676</v>
      </c>
      <c r="E308" s="147"/>
      <c r="F308" s="147"/>
      <c r="G308" s="134"/>
      <c r="H308" s="67" t="s">
        <v>126</v>
      </c>
      <c r="I308" s="72">
        <v>15</v>
      </c>
      <c r="J308" s="72" t="s">
        <v>272</v>
      </c>
      <c r="K308" s="72"/>
      <c r="L308" s="73">
        <v>0</v>
      </c>
      <c r="M308" s="74">
        <v>0</v>
      </c>
      <c r="N308" s="80">
        <f t="shared" si="451"/>
        <v>219.4</v>
      </c>
      <c r="O308" s="81">
        <f t="shared" si="426"/>
        <v>3291</v>
      </c>
      <c r="P308" s="82">
        <f t="shared" si="427"/>
        <v>131.63999999999999</v>
      </c>
      <c r="Q308" s="81">
        <f t="shared" si="428"/>
        <v>230.37</v>
      </c>
      <c r="R308" s="83">
        <f t="shared" si="429"/>
        <v>0</v>
      </c>
      <c r="S308" s="81">
        <f t="shared" si="430"/>
        <v>362.01</v>
      </c>
      <c r="T308" s="81">
        <f t="shared" si="431"/>
        <v>3291</v>
      </c>
      <c r="U308" s="81">
        <f t="shared" si="432"/>
        <v>3653.01</v>
      </c>
      <c r="V308" s="81"/>
      <c r="W308" s="81">
        <v>0</v>
      </c>
      <c r="X308" s="81">
        <v>0</v>
      </c>
      <c r="Y308" s="84">
        <f t="shared" si="433"/>
        <v>128.877712</v>
      </c>
      <c r="Z308" s="81">
        <f t="shared" ref="Z308" si="452">TRUNC(IF(Y308&gt;0.01,Y308,0),2)</f>
        <v>128.87</v>
      </c>
      <c r="AA308" s="85">
        <f t="shared" ref="AA308" si="453">TRUNC(IF(Y308&lt;0.01,-Y308,0),2)</f>
        <v>0</v>
      </c>
      <c r="AB308" s="85">
        <f t="shared" si="436"/>
        <v>3524.1400000000003</v>
      </c>
      <c r="AC308" s="86" t="e">
        <f>#REF!</f>
        <v>#REF!</v>
      </c>
      <c r="AD308" s="73"/>
      <c r="AE308" s="40">
        <v>23</v>
      </c>
      <c r="AG308" s="91"/>
    </row>
    <row r="309" spans="1:33" s="40" customFormat="1" ht="36" customHeight="1">
      <c r="A309" s="105"/>
      <c r="B309" s="71"/>
      <c r="C309" s="71"/>
      <c r="D309" s="125" t="s">
        <v>314</v>
      </c>
      <c r="E309" s="100" t="s">
        <v>493</v>
      </c>
      <c r="F309" s="100" t="s">
        <v>494</v>
      </c>
      <c r="G309" s="134"/>
      <c r="H309" s="67" t="s">
        <v>126</v>
      </c>
      <c r="I309" s="72">
        <v>15</v>
      </c>
      <c r="J309" s="72" t="s">
        <v>272</v>
      </c>
      <c r="K309" s="72"/>
      <c r="L309" s="73">
        <v>0</v>
      </c>
      <c r="M309" s="74">
        <v>0</v>
      </c>
      <c r="N309" s="80">
        <f t="shared" si="451"/>
        <v>219.4</v>
      </c>
      <c r="O309" s="81">
        <f t="shared" si="426"/>
        <v>3291</v>
      </c>
      <c r="P309" s="82">
        <f t="shared" si="427"/>
        <v>131.63999999999999</v>
      </c>
      <c r="Q309" s="81">
        <f t="shared" si="428"/>
        <v>230.37</v>
      </c>
      <c r="R309" s="83">
        <f t="shared" si="429"/>
        <v>0</v>
      </c>
      <c r="S309" s="81">
        <f t="shared" si="430"/>
        <v>362.01</v>
      </c>
      <c r="T309" s="81">
        <f t="shared" si="431"/>
        <v>3291</v>
      </c>
      <c r="U309" s="81">
        <f t="shared" si="432"/>
        <v>3653.01</v>
      </c>
      <c r="V309" s="81"/>
      <c r="W309" s="81">
        <v>0</v>
      </c>
      <c r="X309" s="81">
        <v>0</v>
      </c>
      <c r="Y309" s="84">
        <f t="shared" si="433"/>
        <v>128.877712</v>
      </c>
      <c r="Z309" s="81">
        <f t="shared" si="434"/>
        <v>128.87</v>
      </c>
      <c r="AA309" s="85">
        <f t="shared" si="450"/>
        <v>0</v>
      </c>
      <c r="AB309" s="85">
        <f t="shared" si="436"/>
        <v>3524.1400000000003</v>
      </c>
      <c r="AC309" s="86"/>
      <c r="AD309" s="73"/>
      <c r="AE309" s="40">
        <v>24</v>
      </c>
      <c r="AG309" s="91"/>
    </row>
    <row r="310" spans="1:33" s="40" customFormat="1" ht="36" customHeight="1">
      <c r="A310" s="105">
        <v>168</v>
      </c>
      <c r="B310" s="71" t="s">
        <v>113</v>
      </c>
      <c r="C310" s="71" t="s">
        <v>122</v>
      </c>
      <c r="D310" s="64" t="s">
        <v>677</v>
      </c>
      <c r="E310" s="65"/>
      <c r="F310" s="65"/>
      <c r="G310" s="66"/>
      <c r="H310" s="67" t="s">
        <v>124</v>
      </c>
      <c r="I310" s="72">
        <v>15</v>
      </c>
      <c r="J310" s="72" t="s">
        <v>272</v>
      </c>
      <c r="K310" s="72"/>
      <c r="L310" s="73">
        <v>0</v>
      </c>
      <c r="M310" s="74">
        <v>0</v>
      </c>
      <c r="N310" s="80">
        <f t="shared" si="451"/>
        <v>219.4</v>
      </c>
      <c r="O310" s="81">
        <f t="shared" si="426"/>
        <v>3291</v>
      </c>
      <c r="P310" s="82">
        <f t="shared" si="427"/>
        <v>131.63999999999999</v>
      </c>
      <c r="Q310" s="81">
        <f t="shared" si="428"/>
        <v>230.37</v>
      </c>
      <c r="R310" s="83">
        <f t="shared" si="429"/>
        <v>0</v>
      </c>
      <c r="S310" s="81">
        <f t="shared" si="430"/>
        <v>362.01</v>
      </c>
      <c r="T310" s="81">
        <f t="shared" si="431"/>
        <v>3291</v>
      </c>
      <c r="U310" s="81">
        <f t="shared" si="432"/>
        <v>3653.01</v>
      </c>
      <c r="V310" s="81"/>
      <c r="W310" s="81"/>
      <c r="X310" s="81">
        <v>0</v>
      </c>
      <c r="Y310" s="84">
        <f t="shared" si="433"/>
        <v>128.877712</v>
      </c>
      <c r="Z310" s="81">
        <f t="shared" si="434"/>
        <v>128.87</v>
      </c>
      <c r="AA310" s="85">
        <f t="shared" si="450"/>
        <v>0</v>
      </c>
      <c r="AB310" s="85">
        <f t="shared" si="436"/>
        <v>3524.1400000000003</v>
      </c>
      <c r="AC310" s="86" t="e">
        <f>#REF!</f>
        <v>#REF!</v>
      </c>
      <c r="AD310" s="73"/>
      <c r="AE310" s="40">
        <v>25</v>
      </c>
      <c r="AG310" s="91"/>
    </row>
    <row r="311" spans="1:33" s="40" customFormat="1" ht="36" customHeight="1">
      <c r="A311" s="105"/>
      <c r="B311" s="71"/>
      <c r="C311" s="71"/>
      <c r="D311" s="125" t="s">
        <v>678</v>
      </c>
      <c r="E311" s="65"/>
      <c r="F311" s="65"/>
      <c r="G311" s="66"/>
      <c r="H311" s="67" t="s">
        <v>124</v>
      </c>
      <c r="I311" s="72">
        <v>15</v>
      </c>
      <c r="J311" s="72" t="s">
        <v>272</v>
      </c>
      <c r="K311" s="72"/>
      <c r="L311" s="73">
        <v>0</v>
      </c>
      <c r="M311" s="74">
        <v>0</v>
      </c>
      <c r="N311" s="80">
        <f t="shared" si="451"/>
        <v>219.4</v>
      </c>
      <c r="O311" s="81">
        <f t="shared" si="426"/>
        <v>3291</v>
      </c>
      <c r="P311" s="82">
        <f t="shared" si="427"/>
        <v>131.63999999999999</v>
      </c>
      <c r="Q311" s="81">
        <f t="shared" si="428"/>
        <v>230.37</v>
      </c>
      <c r="R311" s="83">
        <f t="shared" si="429"/>
        <v>0</v>
      </c>
      <c r="S311" s="81">
        <f t="shared" si="430"/>
        <v>362.01</v>
      </c>
      <c r="T311" s="81">
        <f t="shared" si="431"/>
        <v>3291</v>
      </c>
      <c r="U311" s="81">
        <f t="shared" si="432"/>
        <v>3653.01</v>
      </c>
      <c r="V311" s="81"/>
      <c r="W311" s="81">
        <v>0</v>
      </c>
      <c r="X311" s="81">
        <v>0</v>
      </c>
      <c r="Y311" s="84">
        <f t="shared" si="433"/>
        <v>128.877712</v>
      </c>
      <c r="Z311" s="81">
        <f t="shared" si="434"/>
        <v>128.87</v>
      </c>
      <c r="AA311" s="85">
        <f t="shared" si="450"/>
        <v>0</v>
      </c>
      <c r="AB311" s="85">
        <f t="shared" si="436"/>
        <v>3524.1400000000003</v>
      </c>
      <c r="AC311" s="86"/>
      <c r="AD311" s="73"/>
      <c r="AE311" s="40">
        <v>27</v>
      </c>
      <c r="AG311" s="91"/>
    </row>
    <row r="312" spans="1:33" s="40" customFormat="1" ht="36" customHeight="1">
      <c r="A312" s="105">
        <v>172</v>
      </c>
      <c r="B312" s="71" t="s">
        <v>113</v>
      </c>
      <c r="C312" s="71" t="s">
        <v>122</v>
      </c>
      <c r="D312" s="64" t="s">
        <v>286</v>
      </c>
      <c r="E312" s="101" t="s">
        <v>496</v>
      </c>
      <c r="F312" s="102" t="s">
        <v>497</v>
      </c>
      <c r="G312" s="66"/>
      <c r="H312" s="67" t="s">
        <v>124</v>
      </c>
      <c r="I312" s="185">
        <v>15</v>
      </c>
      <c r="J312" s="194" t="s">
        <v>272</v>
      </c>
      <c r="K312" s="190"/>
      <c r="L312" s="190">
        <v>0</v>
      </c>
      <c r="M312" s="190">
        <v>0</v>
      </c>
      <c r="N312" s="80">
        <f t="shared" si="451"/>
        <v>219.4</v>
      </c>
      <c r="O312" s="81">
        <f t="shared" si="426"/>
        <v>3291</v>
      </c>
      <c r="P312" s="82">
        <f t="shared" si="427"/>
        <v>131.63999999999999</v>
      </c>
      <c r="Q312" s="81">
        <f t="shared" si="428"/>
        <v>230.37</v>
      </c>
      <c r="R312" s="83">
        <f t="shared" si="429"/>
        <v>0</v>
      </c>
      <c r="S312" s="81">
        <f t="shared" si="430"/>
        <v>362.01</v>
      </c>
      <c r="T312" s="81">
        <f t="shared" si="431"/>
        <v>3291</v>
      </c>
      <c r="U312" s="81">
        <f t="shared" si="432"/>
        <v>3653.01</v>
      </c>
      <c r="V312" s="81"/>
      <c r="W312" s="81"/>
      <c r="X312" s="81">
        <v>0</v>
      </c>
      <c r="Y312" s="84">
        <f t="shared" si="433"/>
        <v>128.877712</v>
      </c>
      <c r="Z312" s="81">
        <f t="shared" si="434"/>
        <v>128.87</v>
      </c>
      <c r="AA312" s="85">
        <f t="shared" si="450"/>
        <v>0</v>
      </c>
      <c r="AB312" s="85">
        <f t="shared" si="436"/>
        <v>3524.1400000000003</v>
      </c>
      <c r="AC312" s="86" t="e">
        <f>#REF!</f>
        <v>#REF!</v>
      </c>
      <c r="AD312" s="73"/>
      <c r="AE312" s="40">
        <v>28</v>
      </c>
      <c r="AG312" s="91"/>
    </row>
    <row r="313" spans="1:33" s="40" customFormat="1" ht="36" customHeight="1">
      <c r="A313" s="105">
        <v>173</v>
      </c>
      <c r="B313" s="71" t="s">
        <v>113</v>
      </c>
      <c r="C313" s="71" t="s">
        <v>122</v>
      </c>
      <c r="D313" s="64" t="s">
        <v>267</v>
      </c>
      <c r="E313" s="147" t="s">
        <v>428</v>
      </c>
      <c r="F313" s="147" t="s">
        <v>429</v>
      </c>
      <c r="G313" s="148"/>
      <c r="H313" s="67" t="s">
        <v>126</v>
      </c>
      <c r="I313" s="72">
        <v>15</v>
      </c>
      <c r="J313" s="72" t="s">
        <v>272</v>
      </c>
      <c r="K313" s="72"/>
      <c r="L313" s="73">
        <v>0</v>
      </c>
      <c r="M313" s="74">
        <v>0</v>
      </c>
      <c r="N313" s="80">
        <f t="shared" si="451"/>
        <v>219.4</v>
      </c>
      <c r="O313" s="81">
        <f t="shared" si="426"/>
        <v>3291</v>
      </c>
      <c r="P313" s="82">
        <f t="shared" si="427"/>
        <v>131.63999999999999</v>
      </c>
      <c r="Q313" s="81">
        <f t="shared" si="428"/>
        <v>230.37</v>
      </c>
      <c r="R313" s="83">
        <f t="shared" si="429"/>
        <v>0</v>
      </c>
      <c r="S313" s="81">
        <f t="shared" si="430"/>
        <v>362.01</v>
      </c>
      <c r="T313" s="81">
        <f t="shared" si="431"/>
        <v>3291</v>
      </c>
      <c r="U313" s="81">
        <f t="shared" si="432"/>
        <v>3653.01</v>
      </c>
      <c r="V313" s="81"/>
      <c r="W313" s="81">
        <v>0</v>
      </c>
      <c r="X313" s="81">
        <v>0</v>
      </c>
      <c r="Y313" s="84">
        <f t="shared" si="433"/>
        <v>128.877712</v>
      </c>
      <c r="Z313" s="81">
        <f t="shared" si="434"/>
        <v>128.87</v>
      </c>
      <c r="AA313" s="85">
        <f t="shared" si="450"/>
        <v>0</v>
      </c>
      <c r="AB313" s="85">
        <f t="shared" si="436"/>
        <v>3524.1400000000003</v>
      </c>
      <c r="AC313" s="86" t="e">
        <f>#REF!</f>
        <v>#REF!</v>
      </c>
      <c r="AD313" s="73"/>
      <c r="AE313" s="40">
        <v>29</v>
      </c>
      <c r="AG313" s="91"/>
    </row>
    <row r="314" spans="1:33" s="40" customFormat="1" ht="36" customHeight="1">
      <c r="A314" s="105">
        <v>174</v>
      </c>
      <c r="B314" s="71" t="s">
        <v>113</v>
      </c>
      <c r="C314" s="71" t="s">
        <v>122</v>
      </c>
      <c r="D314" s="125" t="s">
        <v>557</v>
      </c>
      <c r="E314" s="150" t="s">
        <v>283</v>
      </c>
      <c r="F314" s="65"/>
      <c r="G314" s="134"/>
      <c r="H314" s="67" t="s">
        <v>124</v>
      </c>
      <c r="I314" s="72">
        <v>15</v>
      </c>
      <c r="J314" s="72" t="s">
        <v>272</v>
      </c>
      <c r="K314" s="72"/>
      <c r="L314" s="73">
        <v>0</v>
      </c>
      <c r="M314" s="74">
        <v>0</v>
      </c>
      <c r="N314" s="80">
        <f t="shared" si="451"/>
        <v>219.4</v>
      </c>
      <c r="O314" s="81">
        <f t="shared" si="426"/>
        <v>3291</v>
      </c>
      <c r="P314" s="82">
        <f t="shared" si="427"/>
        <v>131.63999999999999</v>
      </c>
      <c r="Q314" s="81">
        <f t="shared" si="428"/>
        <v>230.37</v>
      </c>
      <c r="R314" s="83">
        <f t="shared" si="429"/>
        <v>0</v>
      </c>
      <c r="S314" s="81">
        <f t="shared" si="430"/>
        <v>362.01</v>
      </c>
      <c r="T314" s="81">
        <f t="shared" si="431"/>
        <v>3291</v>
      </c>
      <c r="U314" s="81">
        <f t="shared" si="432"/>
        <v>3653.01</v>
      </c>
      <c r="V314" s="81"/>
      <c r="W314" s="81"/>
      <c r="X314" s="81">
        <v>0</v>
      </c>
      <c r="Y314" s="84">
        <f t="shared" si="433"/>
        <v>128.877712</v>
      </c>
      <c r="Z314" s="81">
        <f t="shared" si="434"/>
        <v>128.87</v>
      </c>
      <c r="AA314" s="85">
        <f t="shared" si="450"/>
        <v>0</v>
      </c>
      <c r="AB314" s="85">
        <f t="shared" si="436"/>
        <v>3524.1400000000003</v>
      </c>
      <c r="AC314" s="86" t="e">
        <f>#REF!</f>
        <v>#REF!</v>
      </c>
      <c r="AD314" s="73"/>
      <c r="AE314" s="40">
        <v>30</v>
      </c>
      <c r="AG314" s="91"/>
    </row>
    <row r="315" spans="1:33" s="40" customFormat="1" ht="36" customHeight="1">
      <c r="A315" s="105"/>
      <c r="B315" s="71"/>
      <c r="C315" s="71"/>
      <c r="D315" s="125" t="s">
        <v>679</v>
      </c>
      <c r="E315" s="147"/>
      <c r="F315" s="147"/>
      <c r="G315" s="134"/>
      <c r="H315" s="67" t="s">
        <v>126</v>
      </c>
      <c r="I315" s="72">
        <v>15</v>
      </c>
      <c r="J315" s="72" t="s">
        <v>272</v>
      </c>
      <c r="K315" s="72"/>
      <c r="L315" s="73">
        <v>0</v>
      </c>
      <c r="M315" s="74">
        <v>0</v>
      </c>
      <c r="N315" s="80">
        <f t="shared" si="451"/>
        <v>219.4</v>
      </c>
      <c r="O315" s="81">
        <f t="shared" si="426"/>
        <v>3291</v>
      </c>
      <c r="P315" s="82">
        <f t="shared" si="427"/>
        <v>131.63999999999999</v>
      </c>
      <c r="Q315" s="81">
        <f t="shared" si="428"/>
        <v>230.37</v>
      </c>
      <c r="R315" s="83">
        <f t="shared" si="429"/>
        <v>0</v>
      </c>
      <c r="S315" s="81">
        <f t="shared" si="430"/>
        <v>362.01</v>
      </c>
      <c r="T315" s="81">
        <f t="shared" si="431"/>
        <v>3291</v>
      </c>
      <c r="U315" s="81">
        <f t="shared" si="432"/>
        <v>3653.01</v>
      </c>
      <c r="V315" s="81"/>
      <c r="W315" s="81"/>
      <c r="X315" s="81">
        <v>0</v>
      </c>
      <c r="Y315" s="84">
        <f t="shared" si="433"/>
        <v>128.877712</v>
      </c>
      <c r="Z315" s="81">
        <f t="shared" ref="Z315" si="454">TRUNC(IF(Y315&gt;0.01,Y315,0),2)</f>
        <v>128.87</v>
      </c>
      <c r="AA315" s="85">
        <f t="shared" ref="AA315" si="455">TRUNC(IF(Y315&lt;0.01,-Y315,0),2)</f>
        <v>0</v>
      </c>
      <c r="AB315" s="85">
        <f t="shared" si="436"/>
        <v>3524.1400000000003</v>
      </c>
      <c r="AC315" s="86"/>
      <c r="AD315" s="73"/>
      <c r="AE315" s="40">
        <v>31</v>
      </c>
      <c r="AG315" s="91"/>
    </row>
    <row r="316" spans="1:33" s="40" customFormat="1" ht="36" customHeight="1">
      <c r="A316" s="105">
        <v>175</v>
      </c>
      <c r="B316" s="71" t="s">
        <v>113</v>
      </c>
      <c r="C316" s="71" t="s">
        <v>122</v>
      </c>
      <c r="D316" s="64" t="s">
        <v>549</v>
      </c>
      <c r="E316" s="65"/>
      <c r="F316" s="65"/>
      <c r="G316" s="66"/>
      <c r="H316" s="67" t="s">
        <v>124</v>
      </c>
      <c r="I316" s="72">
        <v>15</v>
      </c>
      <c r="J316" s="72" t="s">
        <v>272</v>
      </c>
      <c r="K316" s="72"/>
      <c r="L316" s="73">
        <v>0</v>
      </c>
      <c r="M316" s="74">
        <v>0</v>
      </c>
      <c r="N316" s="80">
        <f t="shared" si="451"/>
        <v>219.4</v>
      </c>
      <c r="O316" s="81">
        <f t="shared" si="426"/>
        <v>3291</v>
      </c>
      <c r="P316" s="82">
        <f t="shared" si="427"/>
        <v>131.63999999999999</v>
      </c>
      <c r="Q316" s="81">
        <f t="shared" si="428"/>
        <v>230.37</v>
      </c>
      <c r="R316" s="83">
        <f t="shared" si="429"/>
        <v>0</v>
      </c>
      <c r="S316" s="81">
        <f t="shared" si="430"/>
        <v>362.01</v>
      </c>
      <c r="T316" s="81">
        <f t="shared" si="431"/>
        <v>3291</v>
      </c>
      <c r="U316" s="81">
        <f t="shared" si="432"/>
        <v>3653.01</v>
      </c>
      <c r="V316" s="81"/>
      <c r="W316" s="81">
        <v>0</v>
      </c>
      <c r="X316" s="81">
        <v>0</v>
      </c>
      <c r="Y316" s="84">
        <f t="shared" si="433"/>
        <v>128.877712</v>
      </c>
      <c r="Z316" s="81">
        <f t="shared" si="434"/>
        <v>128.87</v>
      </c>
      <c r="AA316" s="85">
        <f t="shared" si="450"/>
        <v>0</v>
      </c>
      <c r="AB316" s="85">
        <f t="shared" si="436"/>
        <v>3524.1400000000003</v>
      </c>
      <c r="AC316" s="86" t="e">
        <f>#REF!</f>
        <v>#REF!</v>
      </c>
      <c r="AD316" s="73"/>
      <c r="AE316" s="40">
        <v>32</v>
      </c>
      <c r="AG316" s="91"/>
    </row>
    <row r="317" spans="1:33" s="40" customFormat="1" ht="36" customHeight="1">
      <c r="A317" s="105">
        <v>181</v>
      </c>
      <c r="B317" s="179" t="s">
        <v>113</v>
      </c>
      <c r="C317" s="71" t="s">
        <v>122</v>
      </c>
      <c r="D317" s="64" t="s">
        <v>372</v>
      </c>
      <c r="E317" s="150" t="s">
        <v>495</v>
      </c>
      <c r="F317" s="65"/>
      <c r="G317" s="66"/>
      <c r="H317" s="103" t="s">
        <v>30</v>
      </c>
      <c r="I317" s="72">
        <v>15</v>
      </c>
      <c r="J317" s="72" t="s">
        <v>272</v>
      </c>
      <c r="K317" s="72"/>
      <c r="L317" s="73">
        <v>0</v>
      </c>
      <c r="M317" s="74">
        <v>0</v>
      </c>
      <c r="N317" s="80">
        <f>3969/15</f>
        <v>264.60000000000002</v>
      </c>
      <c r="O317" s="81">
        <f t="shared" si="426"/>
        <v>3969</v>
      </c>
      <c r="P317" s="82">
        <f t="shared" si="427"/>
        <v>158.76</v>
      </c>
      <c r="Q317" s="81">
        <f t="shared" si="428"/>
        <v>277.83</v>
      </c>
      <c r="R317" s="83">
        <f t="shared" si="429"/>
        <v>0</v>
      </c>
      <c r="S317" s="81">
        <f t="shared" si="430"/>
        <v>436.59</v>
      </c>
      <c r="T317" s="81">
        <f t="shared" si="431"/>
        <v>3969</v>
      </c>
      <c r="U317" s="81">
        <f t="shared" si="432"/>
        <v>4405.59</v>
      </c>
      <c r="V317" s="81"/>
      <c r="W317" s="81">
        <v>0</v>
      </c>
      <c r="X317" s="81">
        <v>0</v>
      </c>
      <c r="Y317" s="84">
        <f t="shared" si="433"/>
        <v>344.12839999999994</v>
      </c>
      <c r="Z317" s="81">
        <f t="shared" si="434"/>
        <v>344.12</v>
      </c>
      <c r="AA317" s="85">
        <f t="shared" si="450"/>
        <v>0</v>
      </c>
      <c r="AB317" s="85">
        <f t="shared" si="436"/>
        <v>4061.4700000000003</v>
      </c>
      <c r="AC317" s="86" t="e">
        <f>#REF!</f>
        <v>#REF!</v>
      </c>
      <c r="AD317" s="73"/>
      <c r="AE317" s="40">
        <v>34</v>
      </c>
      <c r="AG317" s="91"/>
    </row>
    <row r="318" spans="1:33" s="40" customFormat="1" ht="12.75">
      <c r="A318" s="105"/>
      <c r="D318" s="95" t="s">
        <v>311</v>
      </c>
      <c r="E318" s="43"/>
      <c r="F318" s="43"/>
      <c r="G318" s="44"/>
      <c r="H318" s="96"/>
      <c r="I318" s="226"/>
      <c r="J318" s="226"/>
      <c r="O318" s="98">
        <f t="shared" ref="O318:AB318" si="456">SUM(O286:O317)</f>
        <v>112643.38</v>
      </c>
      <c r="P318" s="98">
        <f t="shared" si="456"/>
        <v>4505.7299999999987</v>
      </c>
      <c r="Q318" s="98">
        <f t="shared" si="456"/>
        <v>7885.029999999997</v>
      </c>
      <c r="R318" s="98">
        <f t="shared" si="456"/>
        <v>0</v>
      </c>
      <c r="S318" s="98">
        <f t="shared" si="456"/>
        <v>12390.760000000006</v>
      </c>
      <c r="T318" s="98">
        <f t="shared" si="456"/>
        <v>112643.38</v>
      </c>
      <c r="U318" s="98">
        <f t="shared" si="456"/>
        <v>125034.13999999993</v>
      </c>
      <c r="V318" s="98">
        <f t="shared" si="456"/>
        <v>0</v>
      </c>
      <c r="W318" s="90">
        <f t="shared" si="456"/>
        <v>0</v>
      </c>
      <c r="X318" s="90">
        <f t="shared" si="456"/>
        <v>0</v>
      </c>
      <c r="Y318" s="98">
        <f t="shared" si="456"/>
        <v>5888.8729040000044</v>
      </c>
      <c r="Z318" s="98">
        <f t="shared" si="456"/>
        <v>5888.6299999999974</v>
      </c>
      <c r="AA318" s="98">
        <f t="shared" si="456"/>
        <v>0</v>
      </c>
      <c r="AB318" s="98">
        <f t="shared" si="456"/>
        <v>119145.51</v>
      </c>
      <c r="AC318" s="99"/>
    </row>
    <row r="319" spans="1:33" s="40" customFormat="1" ht="12.75" customHeight="1">
      <c r="A319" s="105"/>
      <c r="D319" s="127"/>
      <c r="E319" s="43"/>
      <c r="F319" s="43"/>
      <c r="G319" s="44"/>
      <c r="H319" s="96"/>
      <c r="I319" s="226"/>
      <c r="J319" s="226"/>
      <c r="O319" s="88"/>
      <c r="P319" s="181"/>
      <c r="Q319" s="88"/>
      <c r="R319" s="146"/>
      <c r="S319" s="88"/>
      <c r="T319" s="88"/>
      <c r="U319" s="88"/>
      <c r="V319" s="88"/>
      <c r="W319" s="88"/>
      <c r="X319" s="88"/>
      <c r="Y319" s="91"/>
      <c r="Z319" s="88"/>
      <c r="AA319" s="182"/>
      <c r="AB319" s="182"/>
      <c r="AC319" s="99"/>
    </row>
    <row r="320" spans="1:33" s="40" customFormat="1" ht="13.5" customHeight="1">
      <c r="A320" s="105"/>
      <c r="D320" s="95" t="s">
        <v>307</v>
      </c>
      <c r="E320" s="43"/>
      <c r="F320" s="43"/>
      <c r="G320" s="44"/>
      <c r="H320" s="96"/>
      <c r="I320" s="226"/>
      <c r="J320" s="226"/>
      <c r="O320" s="88"/>
      <c r="P320" s="181"/>
      <c r="Q320" s="88"/>
      <c r="R320" s="146"/>
      <c r="S320" s="88"/>
      <c r="T320" s="88"/>
      <c r="U320" s="88"/>
      <c r="V320" s="88"/>
      <c r="W320" s="88"/>
      <c r="X320" s="88"/>
      <c r="Y320" s="91"/>
      <c r="Z320" s="88"/>
      <c r="AA320" s="182"/>
      <c r="AB320" s="182"/>
      <c r="AC320" s="99"/>
    </row>
    <row r="321" spans="1:33" s="40" customFormat="1" ht="33.950000000000003" customHeight="1">
      <c r="A321" s="105">
        <v>183</v>
      </c>
      <c r="B321" s="190" t="s">
        <v>113</v>
      </c>
      <c r="C321" s="190" t="s">
        <v>129</v>
      </c>
      <c r="D321" s="64" t="s">
        <v>724</v>
      </c>
      <c r="E321" s="150" t="s">
        <v>253</v>
      </c>
      <c r="F321" s="65"/>
      <c r="G321" s="184"/>
      <c r="H321" s="103" t="s">
        <v>254</v>
      </c>
      <c r="I321" s="72">
        <v>15</v>
      </c>
      <c r="J321" s="72" t="s">
        <v>272</v>
      </c>
      <c r="K321" s="72"/>
      <c r="L321" s="73">
        <v>0</v>
      </c>
      <c r="M321" s="74">
        <v>0</v>
      </c>
      <c r="N321" s="80">
        <v>405.53410000000002</v>
      </c>
      <c r="O321" s="81">
        <f>TRUNC(N321*I321,2)</f>
        <v>6083.01</v>
      </c>
      <c r="P321" s="82">
        <f>TRUNC(N321*I321*0.04,2)</f>
        <v>243.32</v>
      </c>
      <c r="Q321" s="81">
        <f>TRUNC(N321*0.07*I321,2)</f>
        <v>425.81</v>
      </c>
      <c r="R321" s="83">
        <f>L321</f>
        <v>0</v>
      </c>
      <c r="S321" s="81">
        <f>TRUNC(Q321+P321+(IF(R321&gt;519,519,R321))+IF(K321=0,0,K321*N321),2)</f>
        <v>669.13</v>
      </c>
      <c r="T321" s="81">
        <f>TRUNC((IF(K321=0,I321*N321,(I321-K321)*N321))+(IF(R321&lt;519,0,R321-519)),2)+M321</f>
        <v>6083.01</v>
      </c>
      <c r="U321" s="81">
        <f>S321+T321</f>
        <v>6752.14</v>
      </c>
      <c r="V321" s="81"/>
      <c r="W321" s="81"/>
      <c r="X321" s="81">
        <v>0</v>
      </c>
      <c r="Y321" s="84">
        <f>IF(N321&gt;0.01,(T321-VLOOKUP(T321,quincenal,1))*VLOOKUP(T321,quincenal,3)+VLOOKUP(T321,quincenal,2)-VLOOKUP(T321,subquincenal,2),0)</f>
        <v>752.1417600000002</v>
      </c>
      <c r="Z321" s="81">
        <f>TRUNC(IF(Y321&gt;0.01,Y321,0),2)</f>
        <v>752.14</v>
      </c>
      <c r="AA321" s="85">
        <f>TRUNC(IF(Y321&lt;0.01,-Y321,0),2)</f>
        <v>0</v>
      </c>
      <c r="AB321" s="85">
        <f>U321-W321-X321-Z321+AA321</f>
        <v>6000</v>
      </c>
      <c r="AC321" s="86" t="e">
        <f>#REF!</f>
        <v>#REF!</v>
      </c>
      <c r="AD321" s="190"/>
      <c r="AE321" s="40">
        <v>1</v>
      </c>
      <c r="AG321" s="91"/>
    </row>
    <row r="322" spans="1:33" s="40" customFormat="1" ht="33.950000000000003" customHeight="1">
      <c r="A322" s="105">
        <v>184</v>
      </c>
      <c r="B322" s="190"/>
      <c r="C322" s="190"/>
      <c r="D322" s="64" t="s">
        <v>558</v>
      </c>
      <c r="E322" s="147" t="s">
        <v>431</v>
      </c>
      <c r="F322" s="147" t="s">
        <v>440</v>
      </c>
      <c r="G322" s="184"/>
      <c r="H322" s="103" t="s">
        <v>260</v>
      </c>
      <c r="I322" s="185">
        <v>15</v>
      </c>
      <c r="J322" s="194" t="s">
        <v>272</v>
      </c>
      <c r="K322" s="190"/>
      <c r="L322" s="190">
        <v>0</v>
      </c>
      <c r="M322" s="190">
        <v>0</v>
      </c>
      <c r="N322" s="151">
        <f>3016/15</f>
        <v>201.06666666666666</v>
      </c>
      <c r="O322" s="81">
        <f>TRUNC(N322*I322,2)</f>
        <v>3016</v>
      </c>
      <c r="P322" s="82">
        <f>TRUNC(N322*I322*0.04,2)</f>
        <v>120.64</v>
      </c>
      <c r="Q322" s="81">
        <f>TRUNC(N322*0.07*I322,2)</f>
        <v>211.12</v>
      </c>
      <c r="R322" s="83">
        <f>L322</f>
        <v>0</v>
      </c>
      <c r="S322" s="81">
        <f>TRUNC(Q322+P322+(IF(R322&gt;519,519,R322))+IF(K322=0,0,K322*N322),2)</f>
        <v>331.76</v>
      </c>
      <c r="T322" s="81">
        <f>TRUNC((IF(K322=0,I322*N322,(I322-K322)*N322))+(IF(R322&lt;519,0,R322-519)),2)+M322</f>
        <v>3016</v>
      </c>
      <c r="U322" s="81">
        <f>S322+T322</f>
        <v>3347.76</v>
      </c>
      <c r="V322" s="81"/>
      <c r="W322" s="81">
        <v>0</v>
      </c>
      <c r="X322" s="81">
        <v>0</v>
      </c>
      <c r="Y322" s="84">
        <f t="shared" ref="Y322:Y324" si="457">IF(N322&gt;0.01,(T322-VLOOKUP(T322,quincenal,1))*VLOOKUP(T322,quincenal,3)+VLOOKUP(T322,quincenal,2)-VLOOKUP(T322,subquincenal,2),0)</f>
        <v>78.707711999999987</v>
      </c>
      <c r="Z322" s="81">
        <f>TRUNC(IF(Y322&gt;0.01,Y322,0),2)</f>
        <v>78.7</v>
      </c>
      <c r="AA322" s="85">
        <f>TRUNC(IF(Y322&lt;0.01,-Y322,0),2)</f>
        <v>0</v>
      </c>
      <c r="AB322" s="85">
        <f>U322-W322-X322-Z322+AA322</f>
        <v>3269.0600000000004</v>
      </c>
      <c r="AC322" s="86" t="e">
        <f>#REF!</f>
        <v>#REF!</v>
      </c>
      <c r="AD322" s="190"/>
      <c r="AE322" s="40">
        <v>2</v>
      </c>
      <c r="AG322" s="91"/>
    </row>
    <row r="323" spans="1:33" s="40" customFormat="1" ht="33.950000000000003" customHeight="1">
      <c r="A323" s="105">
        <v>185</v>
      </c>
      <c r="B323" s="190" t="s">
        <v>113</v>
      </c>
      <c r="C323" s="190">
        <v>18</v>
      </c>
      <c r="D323" s="64" t="s">
        <v>281</v>
      </c>
      <c r="E323" s="100" t="s">
        <v>498</v>
      </c>
      <c r="F323" s="102" t="s">
        <v>499</v>
      </c>
      <c r="G323" s="184"/>
      <c r="H323" s="103" t="s">
        <v>260</v>
      </c>
      <c r="I323" s="185">
        <v>15</v>
      </c>
      <c r="J323" s="194" t="s">
        <v>272</v>
      </c>
      <c r="K323" s="190"/>
      <c r="L323" s="190">
        <v>0</v>
      </c>
      <c r="M323" s="190">
        <v>0</v>
      </c>
      <c r="N323" s="151">
        <f>3016/15</f>
        <v>201.06666666666666</v>
      </c>
      <c r="O323" s="81">
        <f>TRUNC(N323*I323,2)</f>
        <v>3016</v>
      </c>
      <c r="P323" s="82">
        <f>TRUNC(N323*I323*0.04,2)</f>
        <v>120.64</v>
      </c>
      <c r="Q323" s="81">
        <f>TRUNC(N323*0.07*I323,2)</f>
        <v>211.12</v>
      </c>
      <c r="R323" s="83">
        <f>L323</f>
        <v>0</v>
      </c>
      <c r="S323" s="81">
        <f>TRUNC(Q323+P323+(IF(R323&gt;519,519,R323))+IF(K323=0,0,K323*N323),2)</f>
        <v>331.76</v>
      </c>
      <c r="T323" s="81">
        <f>TRUNC((IF(K323=0,I323*N323,(I323-K323)*N323))+(IF(R323&lt;519,0,R323-519)),2)+M323</f>
        <v>3016</v>
      </c>
      <c r="U323" s="81">
        <f>S323+T323</f>
        <v>3347.76</v>
      </c>
      <c r="V323" s="81"/>
      <c r="W323" s="81">
        <v>0</v>
      </c>
      <c r="X323" s="81">
        <v>0</v>
      </c>
      <c r="Y323" s="84">
        <f t="shared" si="457"/>
        <v>78.707711999999987</v>
      </c>
      <c r="Z323" s="81">
        <f>TRUNC(IF(Y323&gt;0.01,Y323,0),2)</f>
        <v>78.7</v>
      </c>
      <c r="AA323" s="85">
        <f>TRUNC(IF(Y323&lt;0.01,-Y323,0),2)</f>
        <v>0</v>
      </c>
      <c r="AB323" s="85">
        <f>U323-W323-X323-Z323+AA323</f>
        <v>3269.0600000000004</v>
      </c>
      <c r="AC323" s="86" t="e">
        <f>#REF!</f>
        <v>#REF!</v>
      </c>
      <c r="AD323" s="190"/>
      <c r="AE323" s="40">
        <v>3</v>
      </c>
      <c r="AG323" s="91"/>
    </row>
    <row r="324" spans="1:33" s="40" customFormat="1" ht="33.75" customHeight="1">
      <c r="A324" s="105">
        <v>186</v>
      </c>
      <c r="B324" s="190" t="s">
        <v>113</v>
      </c>
      <c r="C324" s="190">
        <v>18</v>
      </c>
      <c r="D324" s="64" t="s">
        <v>541</v>
      </c>
      <c r="E324" s="100" t="s">
        <v>500</v>
      </c>
      <c r="F324" s="102" t="s">
        <v>501</v>
      </c>
      <c r="G324" s="184"/>
      <c r="H324" s="103" t="s">
        <v>260</v>
      </c>
      <c r="I324" s="185">
        <v>15</v>
      </c>
      <c r="J324" s="194" t="s">
        <v>272</v>
      </c>
      <c r="K324" s="190"/>
      <c r="L324" s="190">
        <v>0</v>
      </c>
      <c r="M324" s="190">
        <v>0</v>
      </c>
      <c r="N324" s="151">
        <f>3016/15</f>
        <v>201.06666666666666</v>
      </c>
      <c r="O324" s="81">
        <f>TRUNC(N324*I324,2)</f>
        <v>3016</v>
      </c>
      <c r="P324" s="82">
        <f>TRUNC(N324*I324*0.04,2)</f>
        <v>120.64</v>
      </c>
      <c r="Q324" s="81">
        <f>TRUNC(N324*0.07*I324,2)</f>
        <v>211.12</v>
      </c>
      <c r="R324" s="83">
        <f>L324</f>
        <v>0</v>
      </c>
      <c r="S324" s="81">
        <f>TRUNC(Q324+P324+(IF(R324&gt;519,519,R324))+IF(K324=0,0,K324*N324),2)</f>
        <v>331.76</v>
      </c>
      <c r="T324" s="81">
        <f>TRUNC((IF(K324=0,I324*N324,(I324-K324)*N324))+(IF(R324&lt;519,0,R324-519)),2)+M324</f>
        <v>3016</v>
      </c>
      <c r="U324" s="81">
        <f>S324+T324</f>
        <v>3347.76</v>
      </c>
      <c r="V324" s="81"/>
      <c r="W324" s="81">
        <v>0</v>
      </c>
      <c r="X324" s="81">
        <v>0</v>
      </c>
      <c r="Y324" s="84">
        <f t="shared" si="457"/>
        <v>78.707711999999987</v>
      </c>
      <c r="Z324" s="81">
        <f>TRUNC(IF(Y324&gt;0.01,Y324,0),2)</f>
        <v>78.7</v>
      </c>
      <c r="AA324" s="85">
        <f>TRUNC(IF(Y324&lt;0.01,-Y324,0),2)</f>
        <v>0</v>
      </c>
      <c r="AB324" s="85">
        <f>U324-W324-X324-Z324+AA324</f>
        <v>3269.0600000000004</v>
      </c>
      <c r="AC324" s="86" t="e">
        <f>#REF!</f>
        <v>#REF!</v>
      </c>
      <c r="AD324" s="190"/>
      <c r="AE324" s="40">
        <v>4</v>
      </c>
      <c r="AG324" s="91"/>
    </row>
    <row r="325" spans="1:33" s="40" customFormat="1" ht="12.75">
      <c r="A325" s="105"/>
      <c r="D325" s="95" t="s">
        <v>307</v>
      </c>
      <c r="E325" s="43"/>
      <c r="F325" s="43"/>
      <c r="G325" s="225"/>
      <c r="H325" s="96"/>
      <c r="I325" s="226"/>
      <c r="J325" s="226"/>
      <c r="O325" s="98">
        <f t="shared" ref="O325:AB325" si="458">SUM(O321:O324)</f>
        <v>15131.01</v>
      </c>
      <c r="P325" s="98">
        <f t="shared" si="458"/>
        <v>605.24</v>
      </c>
      <c r="Q325" s="98">
        <f t="shared" si="458"/>
        <v>1059.17</v>
      </c>
      <c r="R325" s="98">
        <f t="shared" si="458"/>
        <v>0</v>
      </c>
      <c r="S325" s="98">
        <f t="shared" si="458"/>
        <v>1664.41</v>
      </c>
      <c r="T325" s="98">
        <f t="shared" si="458"/>
        <v>15131.01</v>
      </c>
      <c r="U325" s="98">
        <f t="shared" si="458"/>
        <v>16795.420000000002</v>
      </c>
      <c r="V325" s="98">
        <f t="shared" si="458"/>
        <v>0</v>
      </c>
      <c r="W325" s="90">
        <f t="shared" si="458"/>
        <v>0</v>
      </c>
      <c r="X325" s="90">
        <f t="shared" si="458"/>
        <v>0</v>
      </c>
      <c r="Y325" s="98">
        <f t="shared" si="458"/>
        <v>988.26489600000025</v>
      </c>
      <c r="Z325" s="98">
        <f t="shared" si="458"/>
        <v>988.24000000000012</v>
      </c>
      <c r="AA325" s="98">
        <f t="shared" si="458"/>
        <v>0</v>
      </c>
      <c r="AB325" s="98">
        <f t="shared" si="458"/>
        <v>15807.180000000004</v>
      </c>
      <c r="AC325" s="99"/>
    </row>
    <row r="326" spans="1:33" s="40" customFormat="1">
      <c r="A326" s="105"/>
      <c r="D326" s="127"/>
      <c r="E326" s="43"/>
      <c r="F326" s="43"/>
      <c r="G326" s="225"/>
      <c r="H326" s="96"/>
      <c r="I326" s="226"/>
      <c r="J326" s="226"/>
      <c r="O326" s="88"/>
      <c r="P326" s="181"/>
      <c r="Q326" s="88"/>
      <c r="R326" s="146"/>
      <c r="S326" s="88"/>
      <c r="T326" s="88"/>
      <c r="U326" s="88"/>
      <c r="V326" s="88"/>
      <c r="W326" s="88"/>
      <c r="X326" s="88"/>
      <c r="Y326" s="91"/>
      <c r="Z326" s="88"/>
      <c r="AA326" s="182"/>
      <c r="AB326" s="182"/>
      <c r="AC326" s="99"/>
      <c r="AF326" s="54"/>
    </row>
    <row r="327" spans="1:33" s="40" customFormat="1" ht="12.75">
      <c r="A327" s="105"/>
      <c r="H327" s="240"/>
      <c r="W327" s="54"/>
      <c r="X327" s="54"/>
      <c r="AC327" s="99" t="e">
        <f>#REF!</f>
        <v>#REF!</v>
      </c>
      <c r="AF327" s="54"/>
    </row>
    <row r="328" spans="1:33" s="40" customFormat="1">
      <c r="A328" s="105"/>
      <c r="D328" s="127"/>
      <c r="E328" s="43"/>
      <c r="F328" s="43"/>
      <c r="G328" s="225"/>
      <c r="H328" s="96"/>
      <c r="I328" s="226"/>
      <c r="J328" s="226"/>
      <c r="O328" s="98">
        <f t="shared" ref="O328:AB328" si="459">O325+O318</f>
        <v>127774.39</v>
      </c>
      <c r="P328" s="98">
        <f t="shared" si="459"/>
        <v>5110.9699999999984</v>
      </c>
      <c r="Q328" s="98">
        <f t="shared" si="459"/>
        <v>8944.1999999999971</v>
      </c>
      <c r="R328" s="98">
        <f t="shared" si="459"/>
        <v>0</v>
      </c>
      <c r="S328" s="98">
        <f t="shared" si="459"/>
        <v>14055.170000000006</v>
      </c>
      <c r="T328" s="98">
        <f t="shared" si="459"/>
        <v>127774.39</v>
      </c>
      <c r="U328" s="98">
        <f t="shared" si="459"/>
        <v>141829.55999999994</v>
      </c>
      <c r="V328" s="98">
        <f t="shared" si="459"/>
        <v>0</v>
      </c>
      <c r="W328" s="90">
        <f t="shared" si="459"/>
        <v>0</v>
      </c>
      <c r="X328" s="90">
        <f t="shared" si="459"/>
        <v>0</v>
      </c>
      <c r="Y328" s="98">
        <f t="shared" si="459"/>
        <v>6877.137800000005</v>
      </c>
      <c r="Z328" s="98">
        <f t="shared" si="459"/>
        <v>6876.8699999999972</v>
      </c>
      <c r="AA328" s="98">
        <f t="shared" si="459"/>
        <v>0</v>
      </c>
      <c r="AB328" s="98">
        <f t="shared" si="459"/>
        <v>134952.69</v>
      </c>
      <c r="AC328" s="99" t="e">
        <f>#REF!</f>
        <v>#REF!</v>
      </c>
      <c r="AF328" s="91"/>
    </row>
    <row r="329" spans="1:33" s="40" customFormat="1">
      <c r="A329" s="105"/>
      <c r="D329" s="127"/>
      <c r="E329" s="43"/>
      <c r="F329" s="43"/>
      <c r="G329" s="225"/>
      <c r="H329" s="96"/>
      <c r="I329" s="226"/>
      <c r="J329" s="226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99" t="e">
        <f>#REF!</f>
        <v>#REF!</v>
      </c>
    </row>
    <row r="330" spans="1:33" s="40" customFormat="1" hidden="1">
      <c r="A330" s="105"/>
      <c r="D330" s="127"/>
      <c r="E330" s="43"/>
      <c r="F330" s="43"/>
      <c r="G330" s="225"/>
      <c r="H330" s="96"/>
      <c r="I330" s="226"/>
      <c r="J330" s="226"/>
      <c r="O330" s="88"/>
      <c r="P330" s="181"/>
      <c r="Q330" s="88"/>
      <c r="R330" s="146"/>
      <c r="S330" s="88"/>
      <c r="T330" s="88"/>
      <c r="U330" s="88"/>
      <c r="V330" s="88"/>
      <c r="W330" s="88"/>
      <c r="X330" s="88"/>
      <c r="Y330" s="91"/>
      <c r="Z330" s="88"/>
      <c r="AA330" s="98"/>
      <c r="AB330" s="182"/>
      <c r="AC330" s="99" t="e">
        <f>#REF!</f>
        <v>#REF!</v>
      </c>
    </row>
    <row r="331" spans="1:33" s="40" customFormat="1" hidden="1">
      <c r="A331" s="105"/>
      <c r="D331" s="127"/>
      <c r="E331" s="43"/>
      <c r="F331" s="43"/>
      <c r="G331" s="225"/>
      <c r="H331" s="96"/>
      <c r="I331" s="226"/>
      <c r="J331" s="226"/>
      <c r="O331" s="88"/>
      <c r="P331" s="181"/>
      <c r="Q331" s="88"/>
      <c r="R331" s="146"/>
      <c r="S331" s="88"/>
      <c r="T331" s="88"/>
      <c r="U331" s="88"/>
      <c r="V331" s="88"/>
      <c r="W331" s="88"/>
      <c r="X331" s="88"/>
      <c r="Y331" s="91"/>
      <c r="Z331" s="88"/>
      <c r="AA331" s="182"/>
      <c r="AB331" s="182"/>
      <c r="AC331" s="99" t="e">
        <f>#REF!</f>
        <v>#REF!</v>
      </c>
    </row>
    <row r="332" spans="1:33" s="40" customFormat="1">
      <c r="A332" s="105"/>
      <c r="D332" s="127"/>
      <c r="E332" s="43"/>
      <c r="F332" s="43"/>
      <c r="G332" s="225"/>
      <c r="H332" s="96"/>
      <c r="I332" s="226"/>
      <c r="J332" s="226"/>
      <c r="O332" s="88"/>
      <c r="P332" s="181"/>
      <c r="Q332" s="88"/>
      <c r="R332" s="146"/>
      <c r="S332" s="88"/>
      <c r="T332" s="88"/>
      <c r="U332" s="88"/>
      <c r="V332" s="88"/>
      <c r="W332" s="88"/>
      <c r="X332" s="88"/>
      <c r="Y332" s="91"/>
      <c r="Z332" s="88"/>
      <c r="AA332" s="182"/>
      <c r="AB332" s="182"/>
      <c r="AC332" s="99" t="e">
        <f>#REF!</f>
        <v>#REF!</v>
      </c>
    </row>
    <row r="333" spans="1:33" s="40" customFormat="1" ht="12.75">
      <c r="A333" s="105"/>
      <c r="D333" s="164" t="s">
        <v>661</v>
      </c>
      <c r="E333" s="164"/>
      <c r="F333" s="43"/>
      <c r="G333" s="44"/>
      <c r="H333" s="96"/>
      <c r="I333" s="165" t="s">
        <v>662</v>
      </c>
      <c r="J333" s="165"/>
      <c r="K333" s="165"/>
      <c r="L333" s="165"/>
      <c r="M333" s="165"/>
      <c r="N333" s="165"/>
      <c r="O333" s="165"/>
      <c r="P333" s="165"/>
      <c r="Q333" s="165"/>
      <c r="R333" s="98"/>
      <c r="S333" s="98"/>
      <c r="T333" s="98"/>
      <c r="U333" s="98"/>
      <c r="V333" s="98"/>
      <c r="W333" s="90"/>
      <c r="X333" s="90"/>
      <c r="Y333" s="98"/>
      <c r="Z333" s="98"/>
      <c r="AA333" s="159" t="s">
        <v>663</v>
      </c>
      <c r="AB333" s="159"/>
      <c r="AC333" s="159"/>
      <c r="AD333" s="159"/>
    </row>
    <row r="334" spans="1:33" s="40" customFormat="1" ht="12.75">
      <c r="A334" s="105"/>
      <c r="D334" s="162" t="s">
        <v>572</v>
      </c>
      <c r="E334" s="162"/>
      <c r="F334" s="43"/>
      <c r="G334" s="44"/>
      <c r="H334" s="96"/>
      <c r="I334" s="163" t="s">
        <v>24</v>
      </c>
      <c r="J334" s="163"/>
      <c r="K334" s="163"/>
      <c r="L334" s="163"/>
      <c r="M334" s="163"/>
      <c r="N334" s="163"/>
      <c r="O334" s="163"/>
      <c r="P334" s="163"/>
      <c r="Q334" s="163"/>
      <c r="R334" s="98"/>
      <c r="S334" s="98"/>
      <c r="T334" s="98"/>
      <c r="U334" s="98"/>
      <c r="V334" s="98"/>
      <c r="W334" s="90"/>
      <c r="X334" s="90"/>
      <c r="Y334" s="98"/>
      <c r="Z334" s="98"/>
      <c r="AA334" s="160" t="s">
        <v>152</v>
      </c>
      <c r="AB334" s="160"/>
      <c r="AC334" s="160"/>
      <c r="AD334" s="160"/>
    </row>
    <row r="335" spans="1:33" s="40" customFormat="1">
      <c r="A335" s="105"/>
      <c r="D335" s="127"/>
      <c r="E335" s="43"/>
      <c r="F335" s="43"/>
      <c r="G335" s="225"/>
      <c r="H335" s="96"/>
      <c r="I335" s="226"/>
      <c r="J335" s="226"/>
      <c r="O335" s="88"/>
      <c r="P335" s="181"/>
      <c r="Q335" s="88"/>
      <c r="R335" s="146"/>
      <c r="S335" s="88"/>
      <c r="T335" s="88"/>
      <c r="U335" s="88"/>
      <c r="V335" s="88"/>
      <c r="W335" s="88"/>
      <c r="X335" s="88"/>
      <c r="Y335" s="91"/>
      <c r="Z335" s="88"/>
      <c r="AA335" s="182"/>
      <c r="AB335" s="182"/>
      <c r="AC335" s="99" t="e">
        <f>#REF!</f>
        <v>#REF!</v>
      </c>
    </row>
    <row r="336" spans="1:33" s="40" customFormat="1">
      <c r="A336" s="105"/>
      <c r="D336" s="127"/>
      <c r="E336" s="43"/>
      <c r="F336" s="43"/>
      <c r="G336" s="225"/>
      <c r="H336" s="96"/>
      <c r="I336" s="226"/>
      <c r="J336" s="226"/>
      <c r="O336" s="88"/>
      <c r="P336" s="181"/>
      <c r="Q336" s="88"/>
      <c r="R336" s="146"/>
      <c r="S336" s="88"/>
      <c r="T336" s="88"/>
      <c r="U336" s="88"/>
      <c r="V336" s="88"/>
      <c r="W336" s="88"/>
      <c r="X336" s="88"/>
      <c r="Y336" s="91"/>
      <c r="Z336" s="88"/>
      <c r="AA336" s="182"/>
      <c r="AB336" s="182"/>
      <c r="AC336" s="99" t="e">
        <f>#REF!</f>
        <v>#REF!</v>
      </c>
    </row>
    <row r="337" spans="1:33" s="40" customFormat="1">
      <c r="A337" s="105"/>
      <c r="D337" s="127"/>
      <c r="E337" s="43"/>
      <c r="F337" s="43"/>
      <c r="G337" s="225"/>
      <c r="H337" s="96"/>
      <c r="I337" s="226"/>
      <c r="J337" s="226"/>
      <c r="O337" s="88"/>
      <c r="P337" s="181"/>
      <c r="Q337" s="88"/>
      <c r="R337" s="146"/>
      <c r="S337" s="88"/>
      <c r="T337" s="88"/>
      <c r="U337" s="88"/>
      <c r="V337" s="88"/>
      <c r="W337" s="88"/>
      <c r="X337" s="88"/>
      <c r="Y337" s="91"/>
      <c r="Z337" s="88"/>
      <c r="AA337" s="182"/>
      <c r="AB337" s="182"/>
      <c r="AC337" s="99" t="e">
        <f>#REF!</f>
        <v>#REF!</v>
      </c>
    </row>
    <row r="338" spans="1:33" s="40" customFormat="1">
      <c r="A338" s="105"/>
      <c r="D338" s="127"/>
      <c r="E338" s="43"/>
      <c r="F338" s="43"/>
      <c r="G338" s="225"/>
      <c r="H338" s="96"/>
      <c r="I338" s="226"/>
      <c r="J338" s="226"/>
      <c r="O338" s="88"/>
      <c r="P338" s="181"/>
      <c r="Q338" s="88"/>
      <c r="R338" s="146"/>
      <c r="S338" s="88"/>
      <c r="T338" s="88"/>
      <c r="U338" s="88"/>
      <c r="V338" s="88"/>
      <c r="W338" s="88"/>
      <c r="X338" s="88"/>
      <c r="Y338" s="91"/>
      <c r="Z338" s="88"/>
      <c r="AA338" s="182"/>
      <c r="AB338" s="182"/>
      <c r="AC338" s="99" t="e">
        <f>#REF!</f>
        <v>#REF!</v>
      </c>
    </row>
    <row r="339" spans="1:33" s="40" customFormat="1">
      <c r="A339" s="105"/>
      <c r="D339" s="127"/>
      <c r="E339" s="43"/>
      <c r="F339" s="43"/>
      <c r="G339" s="225"/>
      <c r="H339" s="96"/>
      <c r="I339" s="226"/>
      <c r="J339" s="226"/>
      <c r="O339" s="88"/>
      <c r="P339" s="181"/>
      <c r="Q339" s="88"/>
      <c r="R339" s="146"/>
      <c r="S339" s="88"/>
      <c r="T339" s="88"/>
      <c r="U339" s="88"/>
      <c r="V339" s="88"/>
      <c r="W339" s="88"/>
      <c r="X339" s="88"/>
      <c r="Y339" s="91"/>
      <c r="Z339" s="88"/>
      <c r="AA339" s="182"/>
      <c r="AB339" s="182"/>
      <c r="AC339" s="99" t="e">
        <f>#REF!</f>
        <v>#REF!</v>
      </c>
    </row>
    <row r="340" spans="1:33" s="40" customFormat="1" ht="12.75">
      <c r="A340" s="105"/>
      <c r="D340" s="95" t="s">
        <v>166</v>
      </c>
      <c r="E340" s="43"/>
      <c r="F340" s="43"/>
      <c r="G340" s="225"/>
      <c r="H340" s="96"/>
      <c r="I340" s="226"/>
      <c r="J340" s="226"/>
      <c r="O340" s="88"/>
      <c r="P340" s="181"/>
      <c r="Q340" s="88"/>
      <c r="R340" s="146"/>
      <c r="S340" s="88"/>
      <c r="T340" s="88"/>
      <c r="U340" s="88"/>
      <c r="V340" s="88"/>
      <c r="W340" s="88"/>
      <c r="X340" s="88"/>
      <c r="Y340" s="91"/>
      <c r="Z340" s="88"/>
      <c r="AA340" s="182"/>
      <c r="AB340" s="182"/>
      <c r="AC340" s="99" t="e">
        <f>#REF!</f>
        <v>#REF!</v>
      </c>
    </row>
    <row r="341" spans="1:33" s="40" customFormat="1" ht="38.1" customHeight="1">
      <c r="A341" s="105">
        <v>188</v>
      </c>
      <c r="B341" s="71"/>
      <c r="C341" s="71"/>
      <c r="D341" s="68" t="s">
        <v>168</v>
      </c>
      <c r="E341" s="102" t="s">
        <v>502</v>
      </c>
      <c r="F341" s="102" t="s">
        <v>503</v>
      </c>
      <c r="G341" s="241"/>
      <c r="H341" s="92" t="s">
        <v>167</v>
      </c>
      <c r="I341" s="242">
        <v>15</v>
      </c>
      <c r="J341" s="242" t="s">
        <v>272</v>
      </c>
      <c r="K341" s="243"/>
      <c r="L341" s="244">
        <v>0</v>
      </c>
      <c r="M341" s="245">
        <v>0</v>
      </c>
      <c r="N341" s="108">
        <f>626.5/15</f>
        <v>41.766666666666666</v>
      </c>
      <c r="O341" s="81">
        <f t="shared" ref="O341:O354" si="460">TRUNC(N341*I341,2)</f>
        <v>626.5</v>
      </c>
      <c r="P341" s="82">
        <f t="shared" ref="P341:P354" si="461">TRUNC(N341*I341*0.04,2)</f>
        <v>25.06</v>
      </c>
      <c r="Q341" s="81">
        <f t="shared" ref="Q341:Q354" si="462">TRUNC(N341*0.07*I341,2)</f>
        <v>43.85</v>
      </c>
      <c r="R341" s="83">
        <f t="shared" ref="R341:R354" si="463">L341</f>
        <v>0</v>
      </c>
      <c r="S341" s="81">
        <f t="shared" ref="S341:S354" si="464">TRUNC(Q341+P341+(IF(R341&gt;519,519,R341))+IF(K341=0,0,K341*N341),2)</f>
        <v>68.91</v>
      </c>
      <c r="T341" s="81">
        <f t="shared" ref="T341:T354" si="465">TRUNC((IF(K341=0,I341*N341,(I341-K341)*N341))+(IF(R341&lt;519,0,R341-519)),2)+M341</f>
        <v>626.5</v>
      </c>
      <c r="U341" s="81">
        <f t="shared" ref="U341:U354" si="466">S341+T341</f>
        <v>695.41</v>
      </c>
      <c r="V341" s="81"/>
      <c r="W341" s="81"/>
      <c r="X341" s="81">
        <v>0</v>
      </c>
      <c r="Y341" s="84">
        <f t="shared" ref="Y341:Y354" si="467">IF(N341&gt;0.01,(T341-VLOOKUP(T341,quincenal,1))*VLOOKUP(T341,quincenal,3)+VLOOKUP(T341,quincenal,2)-VLOOKUP(T341,subquincenal,2),0)</f>
        <v>-171.77184</v>
      </c>
      <c r="Z341" s="81">
        <f t="shared" ref="Z341:Z354" si="468">TRUNC(IF(Y341&gt;0.01,Y341,0),2)</f>
        <v>0</v>
      </c>
      <c r="AA341" s="85">
        <f t="shared" ref="AA341:AA354" si="469">TRUNC(IF(Y341&lt;0.01,-Y341,0),2)</f>
        <v>171.77</v>
      </c>
      <c r="AB341" s="85">
        <f t="shared" ref="AB341:AB354" si="470">U341-W341-X341-Z341+AA341</f>
        <v>867.18</v>
      </c>
      <c r="AC341" s="86" t="e">
        <f>#REF!</f>
        <v>#REF!</v>
      </c>
      <c r="AD341" s="73"/>
      <c r="AE341" s="40">
        <v>1</v>
      </c>
      <c r="AG341" s="91"/>
    </row>
    <row r="342" spans="1:33" s="40" customFormat="1" ht="38.1" customHeight="1">
      <c r="A342" s="105">
        <v>189</v>
      </c>
      <c r="B342" s="71"/>
      <c r="C342" s="71"/>
      <c r="D342" s="68" t="s">
        <v>128</v>
      </c>
      <c r="E342" s="147" t="s">
        <v>435</v>
      </c>
      <c r="F342" s="147" t="s">
        <v>436</v>
      </c>
      <c r="G342" s="241"/>
      <c r="H342" s="92" t="s">
        <v>167</v>
      </c>
      <c r="I342" s="242">
        <v>15</v>
      </c>
      <c r="J342" s="242" t="s">
        <v>272</v>
      </c>
      <c r="K342" s="243"/>
      <c r="L342" s="244">
        <v>0</v>
      </c>
      <c r="M342" s="245">
        <v>0</v>
      </c>
      <c r="N342" s="108">
        <f>1480/15</f>
        <v>98.666666666666671</v>
      </c>
      <c r="O342" s="81">
        <f>TRUNC(N342*I342,2)</f>
        <v>1480</v>
      </c>
      <c r="P342" s="82">
        <f>TRUNC(N342*I342*0.04,2)</f>
        <v>59.2</v>
      </c>
      <c r="Q342" s="81">
        <f>TRUNC(N342*0.07*I342,2)</f>
        <v>103.6</v>
      </c>
      <c r="R342" s="83">
        <f>L342</f>
        <v>0</v>
      </c>
      <c r="S342" s="81">
        <f>TRUNC(Q342+P342+(IF(R342&gt;519,519,R342))+IF(K342=0,0,K342*N342),2)</f>
        <v>162.80000000000001</v>
      </c>
      <c r="T342" s="81">
        <f>TRUNC((IF(K342=0,I342*N342,(I342-K342)*N342))+(IF(R342&lt;519,0,R342-519)),2)+M342</f>
        <v>1480</v>
      </c>
      <c r="U342" s="81">
        <f>S342+T342</f>
        <v>1642.8</v>
      </c>
      <c r="V342" s="81"/>
      <c r="W342" s="81"/>
      <c r="X342" s="81">
        <v>0</v>
      </c>
      <c r="Y342" s="84">
        <f>IF(N342&gt;0.01,(T342-VLOOKUP(T342,quincenal,1))*VLOOKUP(T342,quincenal,3)+VLOOKUP(T342,quincenal,2)-VLOOKUP(T342,subquincenal,2),0)</f>
        <v>-116.99783999999998</v>
      </c>
      <c r="Z342" s="81">
        <f>TRUNC(IF(Y342&gt;0.01,Y342,0),2)</f>
        <v>0</v>
      </c>
      <c r="AA342" s="85">
        <f>TRUNC(IF(Y342&lt;0.01,-Y342,0),2)</f>
        <v>116.99</v>
      </c>
      <c r="AB342" s="85">
        <f>U342-W342-X342-Z342+AA342</f>
        <v>1759.79</v>
      </c>
      <c r="AC342" s="86"/>
      <c r="AD342" s="73"/>
      <c r="AE342" s="40">
        <v>2</v>
      </c>
      <c r="AG342" s="91"/>
    </row>
    <row r="343" spans="1:33" s="40" customFormat="1" ht="38.1" customHeight="1">
      <c r="A343" s="105"/>
      <c r="B343" s="71"/>
      <c r="C343" s="71"/>
      <c r="D343" s="64" t="s">
        <v>214</v>
      </c>
      <c r="E343" s="147" t="s">
        <v>710</v>
      </c>
      <c r="F343" s="147" t="s">
        <v>265</v>
      </c>
      <c r="G343" s="148">
        <v>36892</v>
      </c>
      <c r="H343" s="92" t="s">
        <v>167</v>
      </c>
      <c r="I343" s="132">
        <v>15</v>
      </c>
      <c r="J343" s="132" t="s">
        <v>272</v>
      </c>
      <c r="K343" s="132"/>
      <c r="L343" s="138">
        <v>0</v>
      </c>
      <c r="M343" s="139">
        <v>0</v>
      </c>
      <c r="N343" s="80">
        <f>1426/15</f>
        <v>95.066666666666663</v>
      </c>
      <c r="O343" s="83">
        <f>TRUNC(N343*I343,2)</f>
        <v>1426</v>
      </c>
      <c r="P343" s="141">
        <f>TRUNC(N343*I343*0.04,2)</f>
        <v>57.04</v>
      </c>
      <c r="Q343" s="83">
        <f>TRUNC(N343*0.07*I343,2)</f>
        <v>99.82</v>
      </c>
      <c r="R343" s="83">
        <f>L343</f>
        <v>0</v>
      </c>
      <c r="S343" s="83">
        <f>TRUNC(Q343+P343+(IF(R343&gt;519,519,R343))+IF(K343=0,0,K343*N343),2)</f>
        <v>156.86000000000001</v>
      </c>
      <c r="T343" s="83">
        <f>TRUNC((IF(K343=0,I343*N343,(I343-K343)*N343))+(IF(R343&lt;519,0,R343-519)),2)+M343</f>
        <v>1426</v>
      </c>
      <c r="U343" s="83">
        <f>S343+T343</f>
        <v>1582.8600000000001</v>
      </c>
      <c r="V343" s="83"/>
      <c r="W343" s="83"/>
      <c r="X343" s="83">
        <v>0</v>
      </c>
      <c r="Y343" s="84">
        <f>IF(N343&gt;0.01,(T343-VLOOKUP(T343,quincenal,1))*VLOOKUP(T343,quincenal,3)+VLOOKUP(T343,quincenal,2)-VLOOKUP(T343,subquincenal,2),0)</f>
        <v>-120.45383999999997</v>
      </c>
      <c r="Z343" s="83">
        <f>TRUNC(IF(Y343&gt;0.01,Y343,0),2)</f>
        <v>0</v>
      </c>
      <c r="AA343" s="142">
        <f>TRUNC(IF(Y343&lt;0.01,-Y343,0),2)</f>
        <v>120.45</v>
      </c>
      <c r="AB343" s="142">
        <f>U343-W343-X343-Z343+AA343</f>
        <v>1703.3100000000002</v>
      </c>
      <c r="AC343" s="86"/>
      <c r="AD343" s="73"/>
      <c r="AE343" s="40">
        <v>3</v>
      </c>
      <c r="AG343" s="91"/>
    </row>
    <row r="344" spans="1:33" s="40" customFormat="1" ht="38.1" customHeight="1">
      <c r="A344" s="105">
        <v>190</v>
      </c>
      <c r="B344" s="71"/>
      <c r="C344" s="71"/>
      <c r="D344" s="68" t="s">
        <v>543</v>
      </c>
      <c r="E344" s="102"/>
      <c r="F344" s="102"/>
      <c r="G344" s="241"/>
      <c r="H344" s="92" t="s">
        <v>167</v>
      </c>
      <c r="I344" s="242">
        <v>15</v>
      </c>
      <c r="J344" s="242" t="s">
        <v>272</v>
      </c>
      <c r="K344" s="243"/>
      <c r="L344" s="244">
        <v>0</v>
      </c>
      <c r="M344" s="245">
        <v>0</v>
      </c>
      <c r="N344" s="108">
        <f>783.5/15</f>
        <v>52.233333333333334</v>
      </c>
      <c r="O344" s="81">
        <f>TRUNC(N344*I344,2)</f>
        <v>783.5</v>
      </c>
      <c r="P344" s="82">
        <f>TRUNC(N344*I344*0.04,2)</f>
        <v>31.34</v>
      </c>
      <c r="Q344" s="81">
        <f>TRUNC(N344*0.07*I344,2)</f>
        <v>54.84</v>
      </c>
      <c r="R344" s="83">
        <f>L344</f>
        <v>0</v>
      </c>
      <c r="S344" s="81">
        <f>TRUNC(Q344+P344+(IF(R344&gt;519,519,R344))+IF(K344=0,0,K344*N344),2)</f>
        <v>86.18</v>
      </c>
      <c r="T344" s="81">
        <f>TRUNC((IF(K344=0,I344*N344,(I344-K344)*N344))+(IF(R344&lt;519,0,R344-519)),2)+M344</f>
        <v>783.5</v>
      </c>
      <c r="U344" s="81">
        <f>S344+T344</f>
        <v>869.68000000000006</v>
      </c>
      <c r="V344" s="81"/>
      <c r="W344" s="81"/>
      <c r="X344" s="81">
        <v>0</v>
      </c>
      <c r="Y344" s="84">
        <f>IF(N344&gt;0.01,(T344-VLOOKUP(T344,quincenal,1))*VLOOKUP(T344,quincenal,3)+VLOOKUP(T344,quincenal,2)-VLOOKUP(T344,subquincenal,2),0)</f>
        <v>-161.72384</v>
      </c>
      <c r="Z344" s="81">
        <f>TRUNC(IF(Y344&gt;0.01,Y344,0),2)</f>
        <v>0</v>
      </c>
      <c r="AA344" s="85">
        <f>TRUNC(IF(Y344&lt;0.01,-Y344,0),2)</f>
        <v>161.72</v>
      </c>
      <c r="AB344" s="85">
        <f>U344-W344-X344-Z344+AA344</f>
        <v>1031.4000000000001</v>
      </c>
      <c r="AC344" s="86"/>
      <c r="AD344" s="73"/>
      <c r="AE344" s="40">
        <v>4</v>
      </c>
      <c r="AG344" s="91"/>
    </row>
    <row r="345" spans="1:33" s="40" customFormat="1" ht="38.1" customHeight="1">
      <c r="A345" s="105"/>
      <c r="B345" s="71"/>
      <c r="C345" s="71"/>
      <c r="D345" s="130" t="s">
        <v>553</v>
      </c>
      <c r="E345" s="147"/>
      <c r="F345" s="147"/>
      <c r="G345" s="148"/>
      <c r="H345" s="69" t="s">
        <v>167</v>
      </c>
      <c r="I345" s="242">
        <v>15</v>
      </c>
      <c r="J345" s="242" t="s">
        <v>272</v>
      </c>
      <c r="K345" s="72"/>
      <c r="L345" s="73">
        <v>0</v>
      </c>
      <c r="M345" s="74">
        <v>0</v>
      </c>
      <c r="N345" s="80">
        <f>1181.5/15</f>
        <v>78.766666666666666</v>
      </c>
      <c r="O345" s="81">
        <f>TRUNC(N345*I345,2)</f>
        <v>1181.5</v>
      </c>
      <c r="P345" s="82">
        <f>TRUNC(N345*I345*0.04,2)</f>
        <v>47.26</v>
      </c>
      <c r="Q345" s="81">
        <f>TRUNC(N345*0.07*I345,2)</f>
        <v>82.7</v>
      </c>
      <c r="R345" s="83">
        <f>L345</f>
        <v>0</v>
      </c>
      <c r="S345" s="81">
        <f>TRUNC(Q345+P345+(IF(R345&gt;519,519,R345))+IF(K345=0,0,K345*N345),2)</f>
        <v>129.96</v>
      </c>
      <c r="T345" s="81">
        <f>TRUNC((IF(K345=0,I345*N345,(I345-K345)*N345))+(IF(R345&lt;519,0,R345-519)),2)+M345</f>
        <v>1181.5</v>
      </c>
      <c r="U345" s="81">
        <f>S345+T345</f>
        <v>1311.46</v>
      </c>
      <c r="V345" s="81"/>
      <c r="W345" s="81">
        <v>0</v>
      </c>
      <c r="X345" s="81">
        <v>0</v>
      </c>
      <c r="Y345" s="84">
        <f>IF(N345&gt;0.01,(T345-VLOOKUP(T345,quincenal,1))*VLOOKUP(T345,quincenal,3)+VLOOKUP(T345,quincenal,2)-VLOOKUP(T345,subquincenal,2),0)</f>
        <v>-136.10183999999998</v>
      </c>
      <c r="Z345" s="81">
        <f>TRUNC(IF(Y345&gt;0.01,Y345,0),2)</f>
        <v>0</v>
      </c>
      <c r="AA345" s="85">
        <f>TRUNC(IF(Y345&lt;0.01,-Y345,0),2)</f>
        <v>136.1</v>
      </c>
      <c r="AB345" s="85">
        <f>U345-W345-X345-Z345+AA345</f>
        <v>1447.56</v>
      </c>
      <c r="AC345" s="86"/>
      <c r="AD345" s="73"/>
      <c r="AE345" s="40">
        <v>5</v>
      </c>
      <c r="AG345" s="91"/>
    </row>
    <row r="346" spans="1:33" s="40" customFormat="1" ht="38.1" customHeight="1">
      <c r="A346" s="105">
        <v>191</v>
      </c>
      <c r="B346" s="71" t="s">
        <v>113</v>
      </c>
      <c r="C346" s="71" t="s">
        <v>122</v>
      </c>
      <c r="D346" s="129" t="s">
        <v>125</v>
      </c>
      <c r="E346" s="147" t="s">
        <v>183</v>
      </c>
      <c r="F346" s="147" t="s">
        <v>220</v>
      </c>
      <c r="G346" s="148">
        <v>39083</v>
      </c>
      <c r="H346" s="69" t="s">
        <v>167</v>
      </c>
      <c r="I346" s="242">
        <v>15</v>
      </c>
      <c r="J346" s="242" t="s">
        <v>272</v>
      </c>
      <c r="K346" s="72"/>
      <c r="L346" s="73">
        <v>0</v>
      </c>
      <c r="M346" s="74">
        <v>0</v>
      </c>
      <c r="N346" s="80">
        <f>1645.5/15</f>
        <v>109.7</v>
      </c>
      <c r="O346" s="81">
        <f t="shared" si="460"/>
        <v>1645.5</v>
      </c>
      <c r="P346" s="82">
        <f t="shared" si="461"/>
        <v>65.819999999999993</v>
      </c>
      <c r="Q346" s="81">
        <f t="shared" si="462"/>
        <v>115.18</v>
      </c>
      <c r="R346" s="83">
        <f t="shared" si="463"/>
        <v>0</v>
      </c>
      <c r="S346" s="81">
        <f t="shared" si="464"/>
        <v>181</v>
      </c>
      <c r="T346" s="81">
        <f t="shared" si="465"/>
        <v>1645.5</v>
      </c>
      <c r="U346" s="81">
        <f t="shared" si="466"/>
        <v>1826.5</v>
      </c>
      <c r="V346" s="81"/>
      <c r="W346" s="81">
        <v>0</v>
      </c>
      <c r="X346" s="81">
        <v>0</v>
      </c>
      <c r="Y346" s="84">
        <f t="shared" si="467"/>
        <v>-106.40583999999998</v>
      </c>
      <c r="Z346" s="81">
        <f t="shared" si="468"/>
        <v>0</v>
      </c>
      <c r="AA346" s="85">
        <f t="shared" si="469"/>
        <v>106.4</v>
      </c>
      <c r="AB346" s="85">
        <f t="shared" si="470"/>
        <v>1932.9</v>
      </c>
      <c r="AC346" s="86" t="e">
        <f>#REF!</f>
        <v>#REF!</v>
      </c>
      <c r="AD346" s="73"/>
      <c r="AE346" s="40">
        <v>6</v>
      </c>
      <c r="AG346" s="91"/>
    </row>
    <row r="347" spans="1:33" s="40" customFormat="1" ht="38.1" customHeight="1">
      <c r="A347" s="105">
        <v>193</v>
      </c>
      <c r="B347" s="179"/>
      <c r="C347" s="71"/>
      <c r="D347" s="68" t="s">
        <v>127</v>
      </c>
      <c r="E347" s="102" t="s">
        <v>504</v>
      </c>
      <c r="F347" s="102" t="s">
        <v>505</v>
      </c>
      <c r="G347" s="241"/>
      <c r="H347" s="69" t="s">
        <v>167</v>
      </c>
      <c r="I347" s="242">
        <v>15</v>
      </c>
      <c r="J347" s="242" t="s">
        <v>272</v>
      </c>
      <c r="K347" s="243"/>
      <c r="L347" s="244">
        <v>0</v>
      </c>
      <c r="M347" s="245">
        <v>0</v>
      </c>
      <c r="N347" s="80">
        <v>114.417</v>
      </c>
      <c r="O347" s="81">
        <f>TRUNC(N347*I347,2)</f>
        <v>1716.25</v>
      </c>
      <c r="P347" s="82">
        <f>TRUNC(N347*I347*0.04,2)</f>
        <v>68.650000000000006</v>
      </c>
      <c r="Q347" s="81">
        <f>TRUNC(N347*0.07*I347,2)</f>
        <v>120.13</v>
      </c>
      <c r="R347" s="83">
        <f>L347</f>
        <v>0</v>
      </c>
      <c r="S347" s="81">
        <f>TRUNC(Q347+P347+(IF(R347&gt;519,519,R347))+IF(K347=0,0,K347*N347),2)</f>
        <v>188.78</v>
      </c>
      <c r="T347" s="81">
        <f>TRUNC((IF(K347=0,I347*N347,(I347-K347)*N347))+(IF(R347&lt;519,0,R347-519)),2)+M347</f>
        <v>1716.25</v>
      </c>
      <c r="U347" s="81">
        <f>S347+T347</f>
        <v>1905.03</v>
      </c>
      <c r="V347" s="81"/>
      <c r="W347" s="81">
        <v>0</v>
      </c>
      <c r="X347" s="81">
        <v>0</v>
      </c>
      <c r="Y347" s="84">
        <f>IF(N347&gt;0.01,(T347-VLOOKUP(T347,quincenal,1))*VLOOKUP(T347,quincenal,3)+VLOOKUP(T347,quincenal,2)-VLOOKUP(T347,subquincenal,2),0)</f>
        <v>-94.97784</v>
      </c>
      <c r="Z347" s="81">
        <f>TRUNC(IF(Y347&gt;0.01,Y347,0),2)</f>
        <v>0</v>
      </c>
      <c r="AA347" s="85">
        <f>TRUNC(IF(Y347&lt;0.01,-Y347,0),2)</f>
        <v>94.97</v>
      </c>
      <c r="AB347" s="85">
        <f>U347-W347-X347-Z347+AA347</f>
        <v>2000</v>
      </c>
      <c r="AC347" s="86"/>
      <c r="AD347" s="73"/>
      <c r="AE347" s="40">
        <v>7</v>
      </c>
      <c r="AG347" s="91"/>
    </row>
    <row r="348" spans="1:33" s="40" customFormat="1" ht="38.1" customHeight="1">
      <c r="A348" s="105">
        <v>192</v>
      </c>
      <c r="B348" s="71"/>
      <c r="C348" s="71"/>
      <c r="D348" s="130" t="s">
        <v>544</v>
      </c>
      <c r="E348" s="147"/>
      <c r="F348" s="147"/>
      <c r="G348" s="148"/>
      <c r="H348" s="69" t="s">
        <v>167</v>
      </c>
      <c r="I348" s="242">
        <v>15</v>
      </c>
      <c r="J348" s="242" t="s">
        <v>272</v>
      </c>
      <c r="K348" s="72"/>
      <c r="L348" s="73">
        <v>0</v>
      </c>
      <c r="M348" s="74">
        <v>0</v>
      </c>
      <c r="N348" s="80">
        <f>1645.5/15</f>
        <v>109.7</v>
      </c>
      <c r="O348" s="81">
        <f>TRUNC(N348*I348,2)</f>
        <v>1645.5</v>
      </c>
      <c r="P348" s="82">
        <f>TRUNC(N348*I348*0.04,2)</f>
        <v>65.819999999999993</v>
      </c>
      <c r="Q348" s="81">
        <f>TRUNC(N348*0.07*I348,2)</f>
        <v>115.18</v>
      </c>
      <c r="R348" s="83">
        <f>L348</f>
        <v>0</v>
      </c>
      <c r="S348" s="81">
        <f>TRUNC(Q348+P348+(IF(R348&gt;519,519,R348))+IF(K348=0,0,K348*N348),2)</f>
        <v>181</v>
      </c>
      <c r="T348" s="81">
        <f>TRUNC((IF(K348=0,I348*N348,(I348-K348)*N348))+(IF(R348&lt;519,0,R348-519)),2)+M348</f>
        <v>1645.5</v>
      </c>
      <c r="U348" s="81">
        <f>S348+T348</f>
        <v>1826.5</v>
      </c>
      <c r="V348" s="81"/>
      <c r="W348" s="81">
        <v>0</v>
      </c>
      <c r="X348" s="81">
        <v>0</v>
      </c>
      <c r="Y348" s="84">
        <f>IF(N348&gt;0.01,(T348-VLOOKUP(T348,quincenal,1))*VLOOKUP(T348,quincenal,3)+VLOOKUP(T348,quincenal,2)-VLOOKUP(T348,subquincenal,2),0)</f>
        <v>-106.40583999999998</v>
      </c>
      <c r="Z348" s="81">
        <f>TRUNC(IF(Y348&gt;0.01,Y348,0),2)</f>
        <v>0</v>
      </c>
      <c r="AA348" s="85">
        <f>TRUNC(IF(Y348&lt;0.01,-Y348,0),2)</f>
        <v>106.4</v>
      </c>
      <c r="AB348" s="85">
        <f>U348-W348-X348-Z348+AA348</f>
        <v>1932.9</v>
      </c>
      <c r="AD348" s="190"/>
      <c r="AE348" s="40">
        <v>8</v>
      </c>
      <c r="AG348" s="91"/>
    </row>
    <row r="349" spans="1:33" s="40" customFormat="1" ht="38.1" customHeight="1">
      <c r="A349" s="105">
        <v>194</v>
      </c>
      <c r="B349" s="71"/>
      <c r="C349" s="71"/>
      <c r="D349" s="68" t="s">
        <v>170</v>
      </c>
      <c r="E349" s="102" t="s">
        <v>506</v>
      </c>
      <c r="F349" s="102" t="s">
        <v>507</v>
      </c>
      <c r="G349" s="241"/>
      <c r="H349" s="69" t="s">
        <v>167</v>
      </c>
      <c r="I349" s="242">
        <v>15</v>
      </c>
      <c r="J349" s="242" t="s">
        <v>272</v>
      </c>
      <c r="K349" s="243"/>
      <c r="L349" s="244">
        <v>0</v>
      </c>
      <c r="M349" s="245">
        <v>0</v>
      </c>
      <c r="N349" s="108">
        <f>2069.5/15</f>
        <v>137.96666666666667</v>
      </c>
      <c r="O349" s="81">
        <f t="shared" si="460"/>
        <v>2069.5</v>
      </c>
      <c r="P349" s="82">
        <f t="shared" si="461"/>
        <v>82.78</v>
      </c>
      <c r="Q349" s="81">
        <f t="shared" si="462"/>
        <v>144.86000000000001</v>
      </c>
      <c r="R349" s="83">
        <f t="shared" si="463"/>
        <v>0</v>
      </c>
      <c r="S349" s="81">
        <f t="shared" si="464"/>
        <v>227.64</v>
      </c>
      <c r="T349" s="81">
        <f t="shared" si="465"/>
        <v>2069.5</v>
      </c>
      <c r="U349" s="81">
        <f t="shared" si="466"/>
        <v>2297.14</v>
      </c>
      <c r="V349" s="81"/>
      <c r="W349" s="81"/>
      <c r="X349" s="81">
        <v>0</v>
      </c>
      <c r="Y349" s="84">
        <f t="shared" si="467"/>
        <v>-67.269839999999974</v>
      </c>
      <c r="Z349" s="81">
        <f t="shared" si="468"/>
        <v>0</v>
      </c>
      <c r="AA349" s="85">
        <f t="shared" si="469"/>
        <v>67.260000000000005</v>
      </c>
      <c r="AB349" s="85">
        <f t="shared" si="470"/>
        <v>2364.4</v>
      </c>
      <c r="AC349" s="86" t="e">
        <f>#REF!</f>
        <v>#REF!</v>
      </c>
      <c r="AD349" s="73"/>
      <c r="AE349" s="40">
        <v>9</v>
      </c>
      <c r="AG349" s="91"/>
    </row>
    <row r="350" spans="1:33" s="40" customFormat="1" ht="38.1" customHeight="1">
      <c r="A350" s="105">
        <v>195</v>
      </c>
      <c r="B350" s="71"/>
      <c r="C350" s="71"/>
      <c r="D350" s="68" t="s">
        <v>171</v>
      </c>
      <c r="E350" s="102" t="s">
        <v>508</v>
      </c>
      <c r="F350" s="102" t="s">
        <v>509</v>
      </c>
      <c r="G350" s="241"/>
      <c r="H350" s="69" t="s">
        <v>167</v>
      </c>
      <c r="I350" s="242">
        <v>15</v>
      </c>
      <c r="J350" s="242" t="s">
        <v>272</v>
      </c>
      <c r="K350" s="243"/>
      <c r="L350" s="244">
        <v>0</v>
      </c>
      <c r="M350" s="245">
        <v>0</v>
      </c>
      <c r="N350" s="108">
        <f>1243.5/15</f>
        <v>82.9</v>
      </c>
      <c r="O350" s="81">
        <f t="shared" si="460"/>
        <v>1243.5</v>
      </c>
      <c r="P350" s="82">
        <f t="shared" si="461"/>
        <v>49.74</v>
      </c>
      <c r="Q350" s="81">
        <f t="shared" si="462"/>
        <v>87.04</v>
      </c>
      <c r="R350" s="83">
        <f t="shared" si="463"/>
        <v>0</v>
      </c>
      <c r="S350" s="81">
        <f t="shared" si="464"/>
        <v>136.78</v>
      </c>
      <c r="T350" s="81">
        <f t="shared" si="465"/>
        <v>1243.5</v>
      </c>
      <c r="U350" s="81">
        <f t="shared" si="466"/>
        <v>1380.28</v>
      </c>
      <c r="V350" s="81"/>
      <c r="W350" s="81"/>
      <c r="X350" s="81">
        <v>0</v>
      </c>
      <c r="Y350" s="84">
        <f t="shared" si="467"/>
        <v>-132.13383999999996</v>
      </c>
      <c r="Z350" s="81">
        <f t="shared" si="468"/>
        <v>0</v>
      </c>
      <c r="AA350" s="85">
        <f t="shared" si="469"/>
        <v>132.13</v>
      </c>
      <c r="AB350" s="85">
        <f t="shared" si="470"/>
        <v>1512.4099999999999</v>
      </c>
      <c r="AC350" s="86" t="e">
        <f>#REF!</f>
        <v>#REF!</v>
      </c>
      <c r="AD350" s="73"/>
      <c r="AE350" s="40">
        <v>10</v>
      </c>
      <c r="AG350" s="91"/>
    </row>
    <row r="351" spans="1:33" s="40" customFormat="1" ht="38.1" customHeight="1">
      <c r="A351" s="105">
        <v>196</v>
      </c>
      <c r="B351" s="71"/>
      <c r="C351" s="71"/>
      <c r="D351" s="68" t="s">
        <v>169</v>
      </c>
      <c r="E351" s="102" t="s">
        <v>510</v>
      </c>
      <c r="F351" s="102" t="s">
        <v>511</v>
      </c>
      <c r="G351" s="241"/>
      <c r="H351" s="69" t="s">
        <v>167</v>
      </c>
      <c r="I351" s="242">
        <v>15</v>
      </c>
      <c r="J351" s="242" t="s">
        <v>272</v>
      </c>
      <c r="K351" s="243"/>
      <c r="L351" s="244">
        <v>0</v>
      </c>
      <c r="M351" s="245">
        <v>0</v>
      </c>
      <c r="N351" s="108">
        <f>2924/15</f>
        <v>194.93333333333334</v>
      </c>
      <c r="O351" s="81">
        <f t="shared" si="460"/>
        <v>2924</v>
      </c>
      <c r="P351" s="82">
        <f t="shared" si="461"/>
        <v>116.96</v>
      </c>
      <c r="Q351" s="81">
        <f t="shared" si="462"/>
        <v>204.68</v>
      </c>
      <c r="R351" s="83">
        <f t="shared" si="463"/>
        <v>0</v>
      </c>
      <c r="S351" s="81">
        <f t="shared" si="464"/>
        <v>321.64</v>
      </c>
      <c r="T351" s="81">
        <f t="shared" si="465"/>
        <v>2924</v>
      </c>
      <c r="U351" s="81">
        <f t="shared" si="466"/>
        <v>3245.64</v>
      </c>
      <c r="V351" s="81"/>
      <c r="W351" s="81">
        <v>0</v>
      </c>
      <c r="X351" s="81">
        <v>0</v>
      </c>
      <c r="Y351" s="84">
        <f t="shared" si="467"/>
        <v>68.698111999999981</v>
      </c>
      <c r="Z351" s="81">
        <f t="shared" si="468"/>
        <v>68.69</v>
      </c>
      <c r="AA351" s="85">
        <f t="shared" si="469"/>
        <v>0</v>
      </c>
      <c r="AB351" s="85">
        <f t="shared" si="470"/>
        <v>3176.95</v>
      </c>
      <c r="AC351" s="86" t="e">
        <f>#REF!</f>
        <v>#REF!</v>
      </c>
      <c r="AD351" s="73"/>
      <c r="AE351" s="40">
        <v>11</v>
      </c>
      <c r="AG351" s="91"/>
    </row>
    <row r="352" spans="1:33" s="40" customFormat="1" ht="37.5" customHeight="1">
      <c r="A352" s="105">
        <v>197</v>
      </c>
      <c r="B352" s="71"/>
      <c r="C352" s="71"/>
      <c r="D352" s="68" t="s">
        <v>550</v>
      </c>
      <c r="E352" s="102" t="s">
        <v>512</v>
      </c>
      <c r="F352" s="102" t="s">
        <v>513</v>
      </c>
      <c r="G352" s="241"/>
      <c r="H352" s="69" t="s">
        <v>167</v>
      </c>
      <c r="I352" s="242">
        <v>15</v>
      </c>
      <c r="J352" s="242" t="s">
        <v>272</v>
      </c>
      <c r="K352" s="243"/>
      <c r="L352" s="244">
        <v>0</v>
      </c>
      <c r="M352" s="245">
        <v>0</v>
      </c>
      <c r="N352" s="108">
        <f>783.5/15</f>
        <v>52.233333333333334</v>
      </c>
      <c r="O352" s="81">
        <f>TRUNC(N352*I352,2)</f>
        <v>783.5</v>
      </c>
      <c r="P352" s="82">
        <f>TRUNC(N352*I352*0.04,2)</f>
        <v>31.34</v>
      </c>
      <c r="Q352" s="81">
        <f>TRUNC(N352*0.07*I352,2)</f>
        <v>54.84</v>
      </c>
      <c r="R352" s="83">
        <f>L352</f>
        <v>0</v>
      </c>
      <c r="S352" s="81">
        <f>TRUNC(Q352+P352+(IF(R352&gt;519,519,R352))+IF(K352=0,0,K352*N352),2)</f>
        <v>86.18</v>
      </c>
      <c r="T352" s="81">
        <f>TRUNC((IF(K352=0,I352*N352,(I352-K352)*N352))+(IF(R352&lt;519,0,R352-519)),2)+M352</f>
        <v>783.5</v>
      </c>
      <c r="U352" s="81">
        <f>S352+T352</f>
        <v>869.68000000000006</v>
      </c>
      <c r="V352" s="81"/>
      <c r="W352" s="81"/>
      <c r="X352" s="81">
        <v>0</v>
      </c>
      <c r="Y352" s="84">
        <f>IF(N352&gt;0.01,(T352-VLOOKUP(T352,quincenal,1))*VLOOKUP(T352,quincenal,3)+VLOOKUP(T352,quincenal,2)-VLOOKUP(T352,subquincenal,2),0)</f>
        <v>-161.72384</v>
      </c>
      <c r="Z352" s="81">
        <f>TRUNC(IF(Y352&gt;0.01,Y352,0),2)</f>
        <v>0</v>
      </c>
      <c r="AA352" s="85">
        <f>TRUNC(IF(Y352&lt;0.01,-Y352,0),2)</f>
        <v>161.72</v>
      </c>
      <c r="AB352" s="85">
        <f>U352-W352-X352-Z352+AA352</f>
        <v>1031.4000000000001</v>
      </c>
      <c r="AC352" s="86" t="e">
        <f>#REF!</f>
        <v>#REF!</v>
      </c>
      <c r="AD352" s="73"/>
      <c r="AE352" s="40">
        <v>12</v>
      </c>
      <c r="AG352" s="91"/>
    </row>
    <row r="353" spans="1:33" s="40" customFormat="1" ht="38.1" customHeight="1">
      <c r="A353" s="105">
        <v>199</v>
      </c>
      <c r="B353" s="71"/>
      <c r="C353" s="71"/>
      <c r="D353" s="76" t="s">
        <v>308</v>
      </c>
      <c r="E353" s="102" t="s">
        <v>514</v>
      </c>
      <c r="F353" s="102" t="s">
        <v>515</v>
      </c>
      <c r="G353" s="241"/>
      <c r="H353" s="70" t="s">
        <v>167</v>
      </c>
      <c r="I353" s="242">
        <v>15</v>
      </c>
      <c r="J353" s="242" t="s">
        <v>272</v>
      </c>
      <c r="K353" s="243"/>
      <c r="L353" s="244">
        <v>0</v>
      </c>
      <c r="M353" s="245">
        <v>0</v>
      </c>
      <c r="N353" s="108">
        <f>1243.5/15</f>
        <v>82.9</v>
      </c>
      <c r="O353" s="81">
        <f t="shared" si="460"/>
        <v>1243.5</v>
      </c>
      <c r="P353" s="82">
        <f t="shared" si="461"/>
        <v>49.74</v>
      </c>
      <c r="Q353" s="81">
        <f t="shared" si="462"/>
        <v>87.04</v>
      </c>
      <c r="R353" s="83">
        <f t="shared" si="463"/>
        <v>0</v>
      </c>
      <c r="S353" s="81">
        <f t="shared" si="464"/>
        <v>136.78</v>
      </c>
      <c r="T353" s="81">
        <f t="shared" si="465"/>
        <v>1243.5</v>
      </c>
      <c r="U353" s="81">
        <f t="shared" si="466"/>
        <v>1380.28</v>
      </c>
      <c r="V353" s="81"/>
      <c r="W353" s="81"/>
      <c r="X353" s="81">
        <v>0</v>
      </c>
      <c r="Y353" s="84">
        <f t="shared" si="467"/>
        <v>-132.13383999999996</v>
      </c>
      <c r="Z353" s="81">
        <f t="shared" si="468"/>
        <v>0</v>
      </c>
      <c r="AA353" s="85">
        <f t="shared" si="469"/>
        <v>132.13</v>
      </c>
      <c r="AB353" s="85">
        <f t="shared" si="470"/>
        <v>1512.4099999999999</v>
      </c>
      <c r="AC353" s="86" t="e">
        <f>#REF!</f>
        <v>#REF!</v>
      </c>
      <c r="AD353" s="73"/>
      <c r="AE353" s="40">
        <v>13</v>
      </c>
      <c r="AG353" s="91"/>
    </row>
    <row r="354" spans="1:33" s="40" customFormat="1" ht="38.1" customHeight="1">
      <c r="A354" s="105">
        <v>200</v>
      </c>
      <c r="B354" s="71"/>
      <c r="C354" s="71"/>
      <c r="D354" s="131" t="s">
        <v>309</v>
      </c>
      <c r="E354" s="102" t="s">
        <v>516</v>
      </c>
      <c r="F354" s="102" t="s">
        <v>517</v>
      </c>
      <c r="G354" s="241"/>
      <c r="H354" s="70" t="s">
        <v>167</v>
      </c>
      <c r="I354" s="242">
        <v>15</v>
      </c>
      <c r="J354" s="242" t="s">
        <v>272</v>
      </c>
      <c r="K354" s="243"/>
      <c r="L354" s="244">
        <v>0</v>
      </c>
      <c r="M354" s="245">
        <v>0</v>
      </c>
      <c r="N354" s="108">
        <f>2918.5/15</f>
        <v>194.56666666666666</v>
      </c>
      <c r="O354" s="81">
        <f t="shared" si="460"/>
        <v>2918.5</v>
      </c>
      <c r="P354" s="82">
        <f t="shared" si="461"/>
        <v>116.74</v>
      </c>
      <c r="Q354" s="81">
        <f t="shared" si="462"/>
        <v>204.29</v>
      </c>
      <c r="R354" s="83">
        <f t="shared" si="463"/>
        <v>0</v>
      </c>
      <c r="S354" s="81">
        <f t="shared" si="464"/>
        <v>321.02999999999997</v>
      </c>
      <c r="T354" s="81">
        <f t="shared" si="465"/>
        <v>2918.5</v>
      </c>
      <c r="U354" s="81">
        <f t="shared" si="466"/>
        <v>3239.5299999999997</v>
      </c>
      <c r="V354" s="81"/>
      <c r="W354" s="81"/>
      <c r="X354" s="81">
        <v>0</v>
      </c>
      <c r="Y354" s="84">
        <f t="shared" si="467"/>
        <v>68.099711999999982</v>
      </c>
      <c r="Z354" s="81">
        <f t="shared" si="468"/>
        <v>68.09</v>
      </c>
      <c r="AA354" s="85">
        <f t="shared" si="469"/>
        <v>0</v>
      </c>
      <c r="AB354" s="85">
        <f t="shared" si="470"/>
        <v>3171.4399999999996</v>
      </c>
      <c r="AC354" s="86" t="e">
        <f>#REF!</f>
        <v>#REF!</v>
      </c>
      <c r="AD354" s="73"/>
      <c r="AE354" s="40">
        <v>14</v>
      </c>
      <c r="AG354" s="91"/>
    </row>
    <row r="355" spans="1:33" s="40" customFormat="1" ht="12.75">
      <c r="A355" s="105"/>
      <c r="D355" s="95" t="s">
        <v>166</v>
      </c>
      <c r="E355" s="43"/>
      <c r="F355" s="43"/>
      <c r="G355" s="44"/>
      <c r="H355" s="96"/>
      <c r="I355" s="226"/>
      <c r="J355" s="226"/>
      <c r="O355" s="98">
        <f t="shared" ref="O355:AB355" si="471">SUM(O341:O354)</f>
        <v>21687.25</v>
      </c>
      <c r="P355" s="98">
        <f t="shared" si="471"/>
        <v>867.49000000000012</v>
      </c>
      <c r="Q355" s="98">
        <f t="shared" si="471"/>
        <v>1518.0499999999997</v>
      </c>
      <c r="R355" s="98">
        <f t="shared" si="471"/>
        <v>0</v>
      </c>
      <c r="S355" s="98">
        <f t="shared" si="471"/>
        <v>2385.54</v>
      </c>
      <c r="T355" s="98">
        <f t="shared" si="471"/>
        <v>21687.25</v>
      </c>
      <c r="U355" s="98">
        <f t="shared" si="471"/>
        <v>24072.789999999997</v>
      </c>
      <c r="V355" s="98">
        <f t="shared" si="471"/>
        <v>0</v>
      </c>
      <c r="W355" s="90">
        <f t="shared" si="471"/>
        <v>0</v>
      </c>
      <c r="X355" s="90">
        <f t="shared" si="471"/>
        <v>0</v>
      </c>
      <c r="Y355" s="98">
        <f t="shared" si="471"/>
        <v>-1371.3022559999997</v>
      </c>
      <c r="Z355" s="98">
        <f t="shared" si="471"/>
        <v>136.78</v>
      </c>
      <c r="AA355" s="98">
        <f t="shared" si="471"/>
        <v>1508.04</v>
      </c>
      <c r="AB355" s="98">
        <f t="shared" si="471"/>
        <v>25444.05</v>
      </c>
      <c r="AC355" s="99"/>
    </row>
    <row r="356" spans="1:33" s="40" customFormat="1">
      <c r="A356" s="105"/>
      <c r="D356" s="127"/>
      <c r="E356" s="43"/>
      <c r="F356" s="43"/>
      <c r="G356" s="225"/>
      <c r="H356" s="96"/>
      <c r="I356" s="226"/>
      <c r="J356" s="226"/>
      <c r="O356" s="91"/>
      <c r="W356" s="54"/>
      <c r="X356" s="54"/>
    </row>
    <row r="357" spans="1:33" s="40" customFormat="1">
      <c r="A357" s="105"/>
      <c r="D357" s="127"/>
      <c r="E357" s="43"/>
      <c r="F357" s="43"/>
      <c r="G357" s="225"/>
      <c r="H357" s="96"/>
      <c r="I357" s="226"/>
      <c r="J357" s="226"/>
      <c r="W357" s="54"/>
      <c r="X357" s="54"/>
    </row>
    <row r="358" spans="1:33" s="40" customFormat="1">
      <c r="A358" s="105"/>
      <c r="D358" s="127"/>
      <c r="E358" s="43"/>
      <c r="F358" s="43"/>
      <c r="G358" s="225"/>
      <c r="H358" s="96"/>
      <c r="I358" s="226"/>
      <c r="J358" s="226"/>
      <c r="W358" s="54"/>
      <c r="X358" s="54"/>
    </row>
    <row r="359" spans="1:33" s="40" customFormat="1" ht="12.75">
      <c r="A359" s="105"/>
      <c r="D359" s="164" t="s">
        <v>661</v>
      </c>
      <c r="E359" s="164"/>
      <c r="F359" s="43"/>
      <c r="G359" s="44"/>
      <c r="H359" s="96"/>
      <c r="I359" s="165" t="s">
        <v>662</v>
      </c>
      <c r="J359" s="165"/>
      <c r="K359" s="165"/>
      <c r="L359" s="165"/>
      <c r="M359" s="165"/>
      <c r="N359" s="165"/>
      <c r="O359" s="165"/>
      <c r="P359" s="165"/>
      <c r="Q359" s="165"/>
      <c r="R359" s="98"/>
      <c r="S359" s="98"/>
      <c r="T359" s="98"/>
      <c r="U359" s="98"/>
      <c r="V359" s="98"/>
      <c r="W359" s="90"/>
      <c r="X359" s="90"/>
      <c r="Y359" s="98"/>
      <c r="Z359" s="98"/>
      <c r="AA359" s="159" t="s">
        <v>663</v>
      </c>
      <c r="AB359" s="159"/>
      <c r="AC359" s="159"/>
      <c r="AD359" s="159"/>
    </row>
    <row r="360" spans="1:33" s="40" customFormat="1" ht="12.75">
      <c r="A360" s="105"/>
      <c r="D360" s="162" t="s">
        <v>572</v>
      </c>
      <c r="E360" s="162"/>
      <c r="F360" s="43"/>
      <c r="G360" s="44"/>
      <c r="H360" s="96"/>
      <c r="I360" s="163" t="s">
        <v>24</v>
      </c>
      <c r="J360" s="163"/>
      <c r="K360" s="163"/>
      <c r="L360" s="163"/>
      <c r="M360" s="163"/>
      <c r="N360" s="163"/>
      <c r="O360" s="163"/>
      <c r="P360" s="163"/>
      <c r="Q360" s="163"/>
      <c r="R360" s="98"/>
      <c r="S360" s="98"/>
      <c r="T360" s="98"/>
      <c r="U360" s="98"/>
      <c r="V360" s="98"/>
      <c r="W360" s="90"/>
      <c r="X360" s="90"/>
      <c r="Y360" s="98"/>
      <c r="Z360" s="98"/>
      <c r="AA360" s="160" t="s">
        <v>152</v>
      </c>
      <c r="AB360" s="160"/>
      <c r="AC360" s="160"/>
      <c r="AD360" s="160"/>
    </row>
    <row r="361" spans="1:33" s="40" customFormat="1">
      <c r="A361" s="105"/>
      <c r="D361" s="127"/>
      <c r="E361" s="43"/>
      <c r="F361" s="43"/>
      <c r="G361" s="225"/>
      <c r="H361" s="96"/>
      <c r="I361" s="226"/>
      <c r="J361" s="226"/>
      <c r="W361" s="54"/>
      <c r="X361" s="54"/>
    </row>
    <row r="362" spans="1:33" s="40" customFormat="1">
      <c r="A362" s="105"/>
      <c r="D362" s="127"/>
      <c r="E362" s="43"/>
      <c r="F362" s="43"/>
      <c r="G362" s="225"/>
      <c r="H362" s="96"/>
      <c r="I362" s="226"/>
      <c r="J362" s="226"/>
      <c r="W362" s="54"/>
      <c r="X362" s="54"/>
    </row>
    <row r="363" spans="1:33" s="40" customFormat="1">
      <c r="A363" s="105"/>
      <c r="D363" s="127"/>
      <c r="E363" s="43"/>
      <c r="F363" s="43"/>
      <c r="G363" s="225"/>
      <c r="H363" s="96"/>
      <c r="I363" s="226"/>
      <c r="J363" s="226"/>
      <c r="W363" s="54"/>
      <c r="X363" s="54"/>
      <c r="Z363" s="54"/>
      <c r="AA363" s="54"/>
      <c r="AB363" s="54"/>
    </row>
    <row r="364" spans="1:33" s="40" customFormat="1" ht="12.75">
      <c r="A364" s="105">
        <v>2</v>
      </c>
      <c r="D364" s="95" t="s">
        <v>337</v>
      </c>
      <c r="E364" s="43"/>
      <c r="F364" s="43"/>
      <c r="G364" s="225"/>
      <c r="H364" s="96"/>
      <c r="I364" s="226"/>
      <c r="J364" s="226"/>
      <c r="O364" s="146"/>
      <c r="P364" s="246"/>
      <c r="Q364" s="146"/>
      <c r="R364" s="146"/>
      <c r="S364" s="146"/>
      <c r="T364" s="146"/>
      <c r="U364" s="146"/>
      <c r="V364" s="146"/>
      <c r="W364" s="146"/>
      <c r="X364" s="146"/>
      <c r="Y364" s="91"/>
      <c r="Z364" s="146"/>
      <c r="AA364" s="247"/>
      <c r="AB364" s="247"/>
      <c r="AC364" s="155">
        <f>[2]PORTADA!$D$10</f>
        <v>1</v>
      </c>
    </row>
    <row r="365" spans="1:33" s="40" customFormat="1" ht="36" customHeight="1">
      <c r="A365" s="105">
        <v>202</v>
      </c>
      <c r="B365" s="179"/>
      <c r="C365" s="179"/>
      <c r="D365" s="68" t="s">
        <v>352</v>
      </c>
      <c r="E365" s="150" t="s">
        <v>388</v>
      </c>
      <c r="F365" s="150" t="s">
        <v>389</v>
      </c>
      <c r="G365" s="241"/>
      <c r="H365" s="75" t="s">
        <v>353</v>
      </c>
      <c r="I365" s="242">
        <v>15</v>
      </c>
      <c r="J365" s="248" t="s">
        <v>272</v>
      </c>
      <c r="K365" s="243"/>
      <c r="L365" s="244">
        <v>0</v>
      </c>
      <c r="M365" s="245">
        <v>0</v>
      </c>
      <c r="N365" s="108">
        <f>2775/15</f>
        <v>185</v>
      </c>
      <c r="O365" s="83">
        <f t="shared" ref="O365:O388" si="472">TRUNC(N365*I365,2)</f>
        <v>2775</v>
      </c>
      <c r="P365" s="141">
        <f t="shared" ref="P365:P388" si="473">TRUNC(N365*I365*0.04,2)</f>
        <v>111</v>
      </c>
      <c r="Q365" s="83">
        <f t="shared" ref="Q365:Q388" si="474">TRUNC(N365*0.07*I365,2)</f>
        <v>194.25</v>
      </c>
      <c r="R365" s="83">
        <f t="shared" ref="R365:R387" si="475">L365</f>
        <v>0</v>
      </c>
      <c r="S365" s="83">
        <f t="shared" ref="S365:S388" si="476">TRUNC(Q365+P365+(IF(R365&gt;519,519,R365))+IF(K365=0,0,K365*N365),2)</f>
        <v>305.25</v>
      </c>
      <c r="T365" s="83">
        <f t="shared" ref="T365:T388" si="477">TRUNC((IF(K365=0,I365*N365,(I365-K365)*N365))+(IF(R365&lt;519,0,R365-519)),2)+M365</f>
        <v>2775</v>
      </c>
      <c r="U365" s="83">
        <f t="shared" ref="U365:U387" si="478">S365+T365</f>
        <v>3080.25</v>
      </c>
      <c r="V365" s="83"/>
      <c r="W365" s="83"/>
      <c r="X365" s="83">
        <v>0</v>
      </c>
      <c r="Y365" s="84">
        <f t="shared" ref="Y365:Y387" si="479">IF(N365&gt;0.01,(T365-VLOOKUP(T365,quincenal,1))*VLOOKUP(T365,quincenal,3)+VLOOKUP(T365,quincenal,2)-VLOOKUP(T365,subquincenal,2),0)</f>
        <v>52.48691199999999</v>
      </c>
      <c r="Z365" s="83">
        <f t="shared" ref="Z365:Z387" si="480">TRUNC(IF(Y365&gt;0.01,Y365,0),2)</f>
        <v>52.48</v>
      </c>
      <c r="AA365" s="142">
        <f t="shared" ref="AA365:AA387" si="481">TRUNC(IF(Y365&lt;0.01,-Y365,0),2)</f>
        <v>0</v>
      </c>
      <c r="AB365" s="142">
        <f t="shared" ref="AB365:AB387" si="482">U365-W365-X365-Z365+AA365</f>
        <v>3027.77</v>
      </c>
      <c r="AC365" s="143">
        <f>[2]PORTADA!$D$10</f>
        <v>1</v>
      </c>
      <c r="AD365" s="138"/>
      <c r="AE365" s="40">
        <v>1</v>
      </c>
    </row>
    <row r="366" spans="1:33" s="40" customFormat="1" ht="36" customHeight="1">
      <c r="A366" s="105">
        <v>203</v>
      </c>
      <c r="B366" s="179" t="s">
        <v>113</v>
      </c>
      <c r="C366" s="179" t="s">
        <v>122</v>
      </c>
      <c r="D366" s="68" t="s">
        <v>355</v>
      </c>
      <c r="E366" s="76"/>
      <c r="F366" s="249"/>
      <c r="G366" s="241"/>
      <c r="H366" s="75" t="s">
        <v>354</v>
      </c>
      <c r="I366" s="242">
        <v>15</v>
      </c>
      <c r="J366" s="248" t="s">
        <v>272</v>
      </c>
      <c r="K366" s="243"/>
      <c r="L366" s="244">
        <v>0</v>
      </c>
      <c r="M366" s="245">
        <v>0</v>
      </c>
      <c r="N366" s="108">
        <f>2222/15</f>
        <v>148.13333333333333</v>
      </c>
      <c r="O366" s="83">
        <f t="shared" si="472"/>
        <v>2222</v>
      </c>
      <c r="P366" s="141">
        <f t="shared" si="473"/>
        <v>88.88</v>
      </c>
      <c r="Q366" s="83">
        <f t="shared" si="474"/>
        <v>155.54</v>
      </c>
      <c r="R366" s="83">
        <f t="shared" si="475"/>
        <v>0</v>
      </c>
      <c r="S366" s="83">
        <f t="shared" si="476"/>
        <v>244.42</v>
      </c>
      <c r="T366" s="83">
        <f t="shared" si="477"/>
        <v>2222</v>
      </c>
      <c r="U366" s="83">
        <f t="shared" si="478"/>
        <v>2466.42</v>
      </c>
      <c r="V366" s="83"/>
      <c r="W366" s="83"/>
      <c r="X366" s="83">
        <v>0</v>
      </c>
      <c r="Y366" s="84">
        <f t="shared" si="479"/>
        <v>-37.079488000000026</v>
      </c>
      <c r="Z366" s="83">
        <f t="shared" si="480"/>
        <v>0</v>
      </c>
      <c r="AA366" s="142">
        <f t="shared" si="481"/>
        <v>37.07</v>
      </c>
      <c r="AB366" s="142">
        <f t="shared" si="482"/>
        <v>2503.4900000000002</v>
      </c>
      <c r="AC366" s="143">
        <f>[2]PORTADA!$D$10</f>
        <v>1</v>
      </c>
      <c r="AD366" s="138"/>
      <c r="AE366" s="40">
        <v>2</v>
      </c>
    </row>
    <row r="367" spans="1:33" s="40" customFormat="1" ht="36" customHeight="1">
      <c r="A367" s="105">
        <v>204</v>
      </c>
      <c r="B367" s="179"/>
      <c r="C367" s="179"/>
      <c r="D367" s="68" t="s">
        <v>56</v>
      </c>
      <c r="E367" s="150" t="s">
        <v>179</v>
      </c>
      <c r="F367" s="150" t="s">
        <v>240</v>
      </c>
      <c r="G367" s="241"/>
      <c r="H367" s="75" t="s">
        <v>347</v>
      </c>
      <c r="I367" s="242">
        <v>15</v>
      </c>
      <c r="J367" s="248" t="s">
        <v>272</v>
      </c>
      <c r="K367" s="243"/>
      <c r="L367" s="244">
        <v>0</v>
      </c>
      <c r="M367" s="245">
        <v>0</v>
      </c>
      <c r="N367" s="108">
        <f>1496/15</f>
        <v>99.733333333333334</v>
      </c>
      <c r="O367" s="83">
        <f t="shared" si="472"/>
        <v>1496</v>
      </c>
      <c r="P367" s="141">
        <f t="shared" si="473"/>
        <v>59.84</v>
      </c>
      <c r="Q367" s="83">
        <f t="shared" si="474"/>
        <v>104.72</v>
      </c>
      <c r="R367" s="83">
        <f t="shared" si="475"/>
        <v>0</v>
      </c>
      <c r="S367" s="83">
        <f t="shared" si="476"/>
        <v>164.56</v>
      </c>
      <c r="T367" s="83">
        <f t="shared" si="477"/>
        <v>1496</v>
      </c>
      <c r="U367" s="83">
        <f t="shared" si="478"/>
        <v>1660.56</v>
      </c>
      <c r="V367" s="83"/>
      <c r="W367" s="83"/>
      <c r="X367" s="83">
        <v>0</v>
      </c>
      <c r="Y367" s="84">
        <f t="shared" si="479"/>
        <v>-115.97383999999998</v>
      </c>
      <c r="Z367" s="83">
        <f t="shared" si="480"/>
        <v>0</v>
      </c>
      <c r="AA367" s="142">
        <f t="shared" si="481"/>
        <v>115.97</v>
      </c>
      <c r="AB367" s="142">
        <f t="shared" si="482"/>
        <v>1776.53</v>
      </c>
      <c r="AC367" s="143">
        <f>[2]PORTADA!$D$10</f>
        <v>1</v>
      </c>
      <c r="AD367" s="138"/>
      <c r="AE367" s="40">
        <v>3</v>
      </c>
    </row>
    <row r="368" spans="1:33" s="40" customFormat="1" ht="36" customHeight="1">
      <c r="A368" s="105">
        <v>205</v>
      </c>
      <c r="B368" s="179"/>
      <c r="C368" s="179"/>
      <c r="D368" s="68" t="s">
        <v>392</v>
      </c>
      <c r="E368" s="150" t="s">
        <v>390</v>
      </c>
      <c r="F368" s="150" t="s">
        <v>391</v>
      </c>
      <c r="G368" s="241"/>
      <c r="H368" s="75" t="s">
        <v>357</v>
      </c>
      <c r="I368" s="242">
        <v>15</v>
      </c>
      <c r="J368" s="248" t="s">
        <v>272</v>
      </c>
      <c r="K368" s="243"/>
      <c r="L368" s="244">
        <v>0</v>
      </c>
      <c r="M368" s="245">
        <v>0</v>
      </c>
      <c r="N368" s="108">
        <f>1585/15</f>
        <v>105.66666666666667</v>
      </c>
      <c r="O368" s="83">
        <f t="shared" si="472"/>
        <v>1585</v>
      </c>
      <c r="P368" s="141">
        <f t="shared" si="473"/>
        <v>63.4</v>
      </c>
      <c r="Q368" s="83">
        <f t="shared" si="474"/>
        <v>110.95</v>
      </c>
      <c r="R368" s="83">
        <f t="shared" si="475"/>
        <v>0</v>
      </c>
      <c r="S368" s="83">
        <f t="shared" si="476"/>
        <v>174.35</v>
      </c>
      <c r="T368" s="83">
        <f t="shared" si="477"/>
        <v>1585</v>
      </c>
      <c r="U368" s="83">
        <f t="shared" si="478"/>
        <v>1759.35</v>
      </c>
      <c r="V368" s="83"/>
      <c r="W368" s="83"/>
      <c r="X368" s="83">
        <v>0</v>
      </c>
      <c r="Y368" s="84">
        <f t="shared" si="479"/>
        <v>-110.27783999999998</v>
      </c>
      <c r="Z368" s="83">
        <f t="shared" si="480"/>
        <v>0</v>
      </c>
      <c r="AA368" s="142">
        <f t="shared" si="481"/>
        <v>110.27</v>
      </c>
      <c r="AB368" s="142">
        <f t="shared" si="482"/>
        <v>1869.62</v>
      </c>
      <c r="AC368" s="143">
        <f>[2]PORTADA!$D$10</f>
        <v>1</v>
      </c>
      <c r="AD368" s="138"/>
      <c r="AE368" s="40">
        <v>4</v>
      </c>
    </row>
    <row r="369" spans="1:31" s="40" customFormat="1" ht="36" customHeight="1">
      <c r="A369" s="105">
        <v>206</v>
      </c>
      <c r="B369" s="179"/>
      <c r="C369" s="179"/>
      <c r="D369" s="68" t="s">
        <v>364</v>
      </c>
      <c r="E369" s="250" t="s">
        <v>416</v>
      </c>
      <c r="F369" s="250" t="s">
        <v>417</v>
      </c>
      <c r="G369" s="241"/>
      <c r="H369" s="75" t="s">
        <v>365</v>
      </c>
      <c r="I369" s="242">
        <v>15</v>
      </c>
      <c r="J369" s="248" t="s">
        <v>272</v>
      </c>
      <c r="K369" s="243"/>
      <c r="L369" s="244">
        <v>0</v>
      </c>
      <c r="M369" s="245">
        <v>0</v>
      </c>
      <c r="N369" s="108">
        <f>2775/15</f>
        <v>185</v>
      </c>
      <c r="O369" s="83">
        <f t="shared" si="472"/>
        <v>2775</v>
      </c>
      <c r="P369" s="141">
        <f t="shared" si="473"/>
        <v>111</v>
      </c>
      <c r="Q369" s="83">
        <f t="shared" si="474"/>
        <v>194.25</v>
      </c>
      <c r="R369" s="83">
        <f t="shared" si="475"/>
        <v>0</v>
      </c>
      <c r="S369" s="83">
        <f t="shared" si="476"/>
        <v>305.25</v>
      </c>
      <c r="T369" s="83">
        <f t="shared" si="477"/>
        <v>2775</v>
      </c>
      <c r="U369" s="83">
        <f t="shared" si="478"/>
        <v>3080.25</v>
      </c>
      <c r="V369" s="83"/>
      <c r="W369" s="83"/>
      <c r="X369" s="83">
        <v>0</v>
      </c>
      <c r="Y369" s="84">
        <f t="shared" si="479"/>
        <v>52.48691199999999</v>
      </c>
      <c r="Z369" s="83">
        <f t="shared" si="480"/>
        <v>52.48</v>
      </c>
      <c r="AA369" s="142">
        <f t="shared" si="481"/>
        <v>0</v>
      </c>
      <c r="AB369" s="142">
        <f t="shared" si="482"/>
        <v>3027.77</v>
      </c>
      <c r="AC369" s="143">
        <f>[2]PORTADA!$D$10</f>
        <v>1</v>
      </c>
      <c r="AD369" s="138"/>
      <c r="AE369" s="40">
        <v>5</v>
      </c>
    </row>
    <row r="370" spans="1:31" s="40" customFormat="1" ht="36" customHeight="1">
      <c r="A370" s="105">
        <v>207</v>
      </c>
      <c r="B370" s="179"/>
      <c r="C370" s="179"/>
      <c r="D370" s="68" t="s">
        <v>363</v>
      </c>
      <c r="E370" s="104" t="s">
        <v>393</v>
      </c>
      <c r="F370" s="102" t="s">
        <v>394</v>
      </c>
      <c r="G370" s="241"/>
      <c r="H370" s="75" t="s">
        <v>361</v>
      </c>
      <c r="I370" s="242">
        <v>15</v>
      </c>
      <c r="J370" s="248" t="s">
        <v>272</v>
      </c>
      <c r="K370" s="243"/>
      <c r="L370" s="244">
        <v>0</v>
      </c>
      <c r="M370" s="245">
        <v>0</v>
      </c>
      <c r="N370" s="108">
        <f>2775/15</f>
        <v>185</v>
      </c>
      <c r="O370" s="83">
        <f t="shared" si="472"/>
        <v>2775</v>
      </c>
      <c r="P370" s="141">
        <f t="shared" si="473"/>
        <v>111</v>
      </c>
      <c r="Q370" s="83">
        <f t="shared" si="474"/>
        <v>194.25</v>
      </c>
      <c r="R370" s="83">
        <f t="shared" si="475"/>
        <v>0</v>
      </c>
      <c r="S370" s="83">
        <f t="shared" si="476"/>
        <v>305.25</v>
      </c>
      <c r="T370" s="83">
        <f t="shared" si="477"/>
        <v>2775</v>
      </c>
      <c r="U370" s="83">
        <f t="shared" si="478"/>
        <v>3080.25</v>
      </c>
      <c r="V370" s="83"/>
      <c r="W370" s="83"/>
      <c r="X370" s="83">
        <v>0</v>
      </c>
      <c r="Y370" s="84">
        <f t="shared" si="479"/>
        <v>52.48691199999999</v>
      </c>
      <c r="Z370" s="83">
        <f t="shared" si="480"/>
        <v>52.48</v>
      </c>
      <c r="AA370" s="142">
        <f t="shared" si="481"/>
        <v>0</v>
      </c>
      <c r="AB370" s="142">
        <f t="shared" si="482"/>
        <v>3027.77</v>
      </c>
      <c r="AC370" s="143">
        <f>[2]PORTADA!$D$10</f>
        <v>1</v>
      </c>
      <c r="AD370" s="138"/>
      <c r="AE370" s="40">
        <v>6</v>
      </c>
    </row>
    <row r="371" spans="1:31" s="40" customFormat="1" ht="36" customHeight="1">
      <c r="A371" s="105">
        <v>208</v>
      </c>
      <c r="B371" s="179"/>
      <c r="C371" s="179"/>
      <c r="D371" s="68" t="s">
        <v>343</v>
      </c>
      <c r="E371" s="104" t="s">
        <v>395</v>
      </c>
      <c r="F371" s="249"/>
      <c r="G371" s="241"/>
      <c r="H371" s="75" t="s">
        <v>57</v>
      </c>
      <c r="I371" s="72">
        <v>15</v>
      </c>
      <c r="J371" s="72" t="s">
        <v>272</v>
      </c>
      <c r="K371" s="72"/>
      <c r="L371" s="73">
        <v>0</v>
      </c>
      <c r="M371" s="74">
        <v>0</v>
      </c>
      <c r="N371" s="80">
        <v>217.7938</v>
      </c>
      <c r="O371" s="81">
        <f>TRUNC(N371*I371,2)</f>
        <v>3266.9</v>
      </c>
      <c r="P371" s="82">
        <f>TRUNC(N371*I371*0.04,2)</f>
        <v>130.66999999999999</v>
      </c>
      <c r="Q371" s="81">
        <f>TRUNC(N371*0.07*I371,2)</f>
        <v>228.68</v>
      </c>
      <c r="R371" s="83">
        <f>L371</f>
        <v>0</v>
      </c>
      <c r="S371" s="81">
        <f>TRUNC(Q371+P371+(IF(R371&gt;519,519,R371))+IF(K371=0,0,K371*N371),2)</f>
        <v>359.35</v>
      </c>
      <c r="T371" s="81">
        <f>TRUNC((IF(K371=0,I371*N371,(I371-K371)*N371))+(IF(R371&lt;519,0,R371-519)),2)+M371</f>
        <v>3266.9</v>
      </c>
      <c r="U371" s="81">
        <f>S371+T371</f>
        <v>3626.25</v>
      </c>
      <c r="V371" s="81"/>
      <c r="W371" s="81"/>
      <c r="X371" s="81">
        <v>0</v>
      </c>
      <c r="Y371" s="84">
        <f>IF(N371&gt;0.01,(T371-VLOOKUP(T371,quincenal,1))*VLOOKUP(T371,quincenal,3)+VLOOKUP(T371,quincenal,2)-VLOOKUP(T371,subquincenal,2),0)</f>
        <v>126.25563199999996</v>
      </c>
      <c r="Z371" s="81">
        <f>TRUNC(IF(Y371&gt;0.01,Y371,0),2)</f>
        <v>126.25</v>
      </c>
      <c r="AA371" s="85">
        <f>TRUNC(IF(Y371&lt;0.01,-Y371,0),2)</f>
        <v>0</v>
      </c>
      <c r="AB371" s="85">
        <f>U371-W371-X371-Z371+AA371</f>
        <v>3500</v>
      </c>
      <c r="AC371" s="143">
        <f>[2]PORTADA!$D$10</f>
        <v>1</v>
      </c>
      <c r="AD371" s="138"/>
      <c r="AE371" s="40">
        <v>7</v>
      </c>
    </row>
    <row r="372" spans="1:31" s="40" customFormat="1" ht="36" customHeight="1">
      <c r="A372" s="105">
        <v>209</v>
      </c>
      <c r="B372" s="179"/>
      <c r="C372" s="179"/>
      <c r="D372" s="68" t="s">
        <v>339</v>
      </c>
      <c r="E372" s="104" t="s">
        <v>396</v>
      </c>
      <c r="F372" s="102" t="s">
        <v>397</v>
      </c>
      <c r="G372" s="241"/>
      <c r="H372" s="75" t="s">
        <v>340</v>
      </c>
      <c r="I372" s="242">
        <v>15</v>
      </c>
      <c r="J372" s="248" t="s">
        <v>272</v>
      </c>
      <c r="K372" s="243"/>
      <c r="L372" s="244">
        <v>0</v>
      </c>
      <c r="M372" s="245">
        <v>0</v>
      </c>
      <c r="N372" s="108">
        <f>3282/15</f>
        <v>218.8</v>
      </c>
      <c r="O372" s="83">
        <f t="shared" si="472"/>
        <v>3282</v>
      </c>
      <c r="P372" s="141">
        <f t="shared" si="473"/>
        <v>131.28</v>
      </c>
      <c r="Q372" s="83">
        <f t="shared" si="474"/>
        <v>229.74</v>
      </c>
      <c r="R372" s="83">
        <f t="shared" si="475"/>
        <v>0</v>
      </c>
      <c r="S372" s="83">
        <f t="shared" si="476"/>
        <v>361.02</v>
      </c>
      <c r="T372" s="83">
        <f t="shared" si="477"/>
        <v>3282</v>
      </c>
      <c r="U372" s="83">
        <f t="shared" si="478"/>
        <v>3643.02</v>
      </c>
      <c r="V372" s="83"/>
      <c r="W372" s="83"/>
      <c r="X372" s="83">
        <v>0</v>
      </c>
      <c r="Y372" s="84">
        <f t="shared" si="479"/>
        <v>127.89851199999995</v>
      </c>
      <c r="Z372" s="83">
        <f t="shared" si="480"/>
        <v>127.89</v>
      </c>
      <c r="AA372" s="142">
        <f t="shared" si="481"/>
        <v>0</v>
      </c>
      <c r="AB372" s="142">
        <f t="shared" si="482"/>
        <v>3515.13</v>
      </c>
      <c r="AC372" s="143">
        <f>[2]PORTADA!$D$10</f>
        <v>1</v>
      </c>
      <c r="AD372" s="138"/>
      <c r="AE372" s="40">
        <v>8</v>
      </c>
    </row>
    <row r="373" spans="1:31" s="40" customFormat="1" ht="36" customHeight="1">
      <c r="A373" s="105">
        <v>210</v>
      </c>
      <c r="B373" s="179"/>
      <c r="C373" s="179"/>
      <c r="D373" s="68" t="s">
        <v>341</v>
      </c>
      <c r="E373" s="104" t="s">
        <v>398</v>
      </c>
      <c r="F373" s="102" t="s">
        <v>399</v>
      </c>
      <c r="G373" s="241"/>
      <c r="H373" s="75" t="s">
        <v>342</v>
      </c>
      <c r="I373" s="242">
        <v>15</v>
      </c>
      <c r="J373" s="248" t="s">
        <v>272</v>
      </c>
      <c r="K373" s="243"/>
      <c r="L373" s="244">
        <v>0</v>
      </c>
      <c r="M373" s="245">
        <v>0</v>
      </c>
      <c r="N373" s="108">
        <f>2984/15</f>
        <v>198.93333333333334</v>
      </c>
      <c r="O373" s="83">
        <f t="shared" si="472"/>
        <v>2984</v>
      </c>
      <c r="P373" s="141">
        <f t="shared" si="473"/>
        <v>119.36</v>
      </c>
      <c r="Q373" s="83">
        <f t="shared" si="474"/>
        <v>208.88</v>
      </c>
      <c r="R373" s="83">
        <f t="shared" si="475"/>
        <v>0</v>
      </c>
      <c r="S373" s="83">
        <f t="shared" si="476"/>
        <v>328.24</v>
      </c>
      <c r="T373" s="83">
        <f t="shared" si="477"/>
        <v>2984</v>
      </c>
      <c r="U373" s="83">
        <f t="shared" si="478"/>
        <v>3312.24</v>
      </c>
      <c r="V373" s="83"/>
      <c r="W373" s="83"/>
      <c r="X373" s="83">
        <v>0</v>
      </c>
      <c r="Y373" s="84">
        <f t="shared" si="479"/>
        <v>75.226111999999972</v>
      </c>
      <c r="Z373" s="83">
        <f t="shared" si="480"/>
        <v>75.22</v>
      </c>
      <c r="AA373" s="142">
        <f t="shared" si="481"/>
        <v>0</v>
      </c>
      <c r="AB373" s="142">
        <f t="shared" si="482"/>
        <v>3237.02</v>
      </c>
      <c r="AC373" s="143">
        <f>[2]PORTADA!$D$10</f>
        <v>1</v>
      </c>
      <c r="AD373" s="138"/>
      <c r="AE373" s="40">
        <v>9</v>
      </c>
    </row>
    <row r="374" spans="1:31" s="40" customFormat="1" ht="36" customHeight="1">
      <c r="A374" s="105">
        <v>211</v>
      </c>
      <c r="B374" s="179"/>
      <c r="C374" s="179"/>
      <c r="D374" s="68" t="s">
        <v>344</v>
      </c>
      <c r="E374" s="104" t="s">
        <v>400</v>
      </c>
      <c r="F374" s="102" t="s">
        <v>401</v>
      </c>
      <c r="G374" s="241"/>
      <c r="H374" s="75" t="s">
        <v>57</v>
      </c>
      <c r="I374" s="242">
        <v>15</v>
      </c>
      <c r="J374" s="248" t="s">
        <v>272</v>
      </c>
      <c r="K374" s="243"/>
      <c r="L374" s="244">
        <v>0</v>
      </c>
      <c r="M374" s="245">
        <v>0</v>
      </c>
      <c r="N374" s="108">
        <f>2822/15</f>
        <v>188.13333333333333</v>
      </c>
      <c r="O374" s="83">
        <f t="shared" si="472"/>
        <v>2822</v>
      </c>
      <c r="P374" s="141">
        <f t="shared" si="473"/>
        <v>112.88</v>
      </c>
      <c r="Q374" s="83">
        <f t="shared" si="474"/>
        <v>197.54</v>
      </c>
      <c r="R374" s="83">
        <f t="shared" si="475"/>
        <v>0</v>
      </c>
      <c r="S374" s="83">
        <f t="shared" si="476"/>
        <v>310.42</v>
      </c>
      <c r="T374" s="83">
        <f t="shared" si="477"/>
        <v>2822</v>
      </c>
      <c r="U374" s="83">
        <f t="shared" si="478"/>
        <v>3132.42</v>
      </c>
      <c r="V374" s="83"/>
      <c r="W374" s="83">
        <v>0</v>
      </c>
      <c r="X374" s="83">
        <v>0</v>
      </c>
      <c r="Y374" s="84">
        <f t="shared" si="479"/>
        <v>57.600511999999981</v>
      </c>
      <c r="Z374" s="83">
        <f t="shared" si="480"/>
        <v>57.6</v>
      </c>
      <c r="AA374" s="142">
        <f t="shared" si="481"/>
        <v>0</v>
      </c>
      <c r="AB374" s="142">
        <f t="shared" si="482"/>
        <v>3074.82</v>
      </c>
      <c r="AC374" s="143">
        <f>[2]PORTADA!$D$10</f>
        <v>1</v>
      </c>
      <c r="AD374" s="138"/>
      <c r="AE374" s="40">
        <v>10</v>
      </c>
    </row>
    <row r="375" spans="1:31" s="40" customFormat="1" ht="36" customHeight="1">
      <c r="A375" s="105">
        <v>212</v>
      </c>
      <c r="B375" s="179"/>
      <c r="C375" s="179"/>
      <c r="D375" s="68" t="s">
        <v>346</v>
      </c>
      <c r="E375" s="76"/>
      <c r="F375" s="249"/>
      <c r="G375" s="241"/>
      <c r="H375" s="75" t="s">
        <v>57</v>
      </c>
      <c r="I375" s="242">
        <v>15</v>
      </c>
      <c r="J375" s="248" t="s">
        <v>272</v>
      </c>
      <c r="K375" s="243"/>
      <c r="L375" s="244">
        <v>0</v>
      </c>
      <c r="M375" s="245">
        <v>0</v>
      </c>
      <c r="N375" s="108">
        <f>2822/15</f>
        <v>188.13333333333333</v>
      </c>
      <c r="O375" s="83">
        <f t="shared" si="472"/>
        <v>2822</v>
      </c>
      <c r="P375" s="141">
        <f t="shared" si="473"/>
        <v>112.88</v>
      </c>
      <c r="Q375" s="83">
        <f t="shared" si="474"/>
        <v>197.54</v>
      </c>
      <c r="R375" s="83">
        <f t="shared" si="475"/>
        <v>0</v>
      </c>
      <c r="S375" s="83">
        <f t="shared" si="476"/>
        <v>310.42</v>
      </c>
      <c r="T375" s="83">
        <f t="shared" si="477"/>
        <v>2822</v>
      </c>
      <c r="U375" s="83">
        <f t="shared" si="478"/>
        <v>3132.42</v>
      </c>
      <c r="V375" s="83"/>
      <c r="W375" s="83"/>
      <c r="X375" s="83">
        <v>0</v>
      </c>
      <c r="Y375" s="84">
        <f t="shared" si="479"/>
        <v>57.600511999999981</v>
      </c>
      <c r="Z375" s="83">
        <f t="shared" si="480"/>
        <v>57.6</v>
      </c>
      <c r="AA375" s="142">
        <f t="shared" si="481"/>
        <v>0</v>
      </c>
      <c r="AB375" s="142">
        <f t="shared" si="482"/>
        <v>3074.82</v>
      </c>
      <c r="AC375" s="143">
        <f>[2]PORTADA!$D$10</f>
        <v>1</v>
      </c>
      <c r="AD375" s="138"/>
      <c r="AE375" s="40">
        <v>11</v>
      </c>
    </row>
    <row r="376" spans="1:31" s="40" customFormat="1" ht="36" customHeight="1">
      <c r="A376" s="105">
        <v>213</v>
      </c>
      <c r="B376" s="179" t="s">
        <v>21</v>
      </c>
      <c r="C376" s="179" t="s">
        <v>16</v>
      </c>
      <c r="D376" s="76" t="s">
        <v>358</v>
      </c>
      <c r="E376" s="104" t="s">
        <v>402</v>
      </c>
      <c r="F376" s="102" t="s">
        <v>403</v>
      </c>
      <c r="G376" s="241"/>
      <c r="H376" s="75" t="s">
        <v>359</v>
      </c>
      <c r="I376" s="242">
        <v>15</v>
      </c>
      <c r="J376" s="248" t="s">
        <v>272</v>
      </c>
      <c r="K376" s="243"/>
      <c r="L376" s="244">
        <v>0</v>
      </c>
      <c r="M376" s="245">
        <v>0</v>
      </c>
      <c r="N376" s="108">
        <f>4596/15</f>
        <v>306.39999999999998</v>
      </c>
      <c r="O376" s="83">
        <f t="shared" si="472"/>
        <v>4596</v>
      </c>
      <c r="P376" s="141">
        <f t="shared" si="473"/>
        <v>183.84</v>
      </c>
      <c r="Q376" s="83">
        <f t="shared" si="474"/>
        <v>321.72000000000003</v>
      </c>
      <c r="R376" s="83">
        <f t="shared" si="475"/>
        <v>0</v>
      </c>
      <c r="S376" s="83">
        <f t="shared" si="476"/>
        <v>505.56</v>
      </c>
      <c r="T376" s="83">
        <f t="shared" si="477"/>
        <v>4596</v>
      </c>
      <c r="U376" s="83">
        <f t="shared" si="478"/>
        <v>5101.5600000000004</v>
      </c>
      <c r="V376" s="83"/>
      <c r="W376" s="83">
        <v>0</v>
      </c>
      <c r="X376" s="83">
        <v>0</v>
      </c>
      <c r="Y376" s="84">
        <f t="shared" si="479"/>
        <v>451.10868800000009</v>
      </c>
      <c r="Z376" s="83">
        <f t="shared" si="480"/>
        <v>451.1</v>
      </c>
      <c r="AA376" s="142">
        <f t="shared" si="481"/>
        <v>0</v>
      </c>
      <c r="AB376" s="142">
        <f t="shared" si="482"/>
        <v>4650.46</v>
      </c>
      <c r="AC376" s="143">
        <f>[2]PORTADA!$D$10</f>
        <v>1</v>
      </c>
      <c r="AD376" s="138"/>
      <c r="AE376" s="40">
        <v>12</v>
      </c>
    </row>
    <row r="377" spans="1:31" s="40" customFormat="1" ht="36" customHeight="1">
      <c r="A377" s="105">
        <v>214</v>
      </c>
      <c r="B377" s="179" t="s">
        <v>21</v>
      </c>
      <c r="C377" s="179" t="s">
        <v>21</v>
      </c>
      <c r="D377" s="64" t="s">
        <v>65</v>
      </c>
      <c r="E377" s="150" t="s">
        <v>192</v>
      </c>
      <c r="F377" s="150" t="s">
        <v>227</v>
      </c>
      <c r="G377" s="66"/>
      <c r="H377" s="75" t="s">
        <v>351</v>
      </c>
      <c r="I377" s="132">
        <v>15</v>
      </c>
      <c r="J377" s="251" t="s">
        <v>272</v>
      </c>
      <c r="K377" s="132"/>
      <c r="L377" s="138">
        <v>0</v>
      </c>
      <c r="M377" s="139">
        <v>0</v>
      </c>
      <c r="N377" s="80">
        <f>1989/15</f>
        <v>132.6</v>
      </c>
      <c r="O377" s="83">
        <f t="shared" si="472"/>
        <v>1989</v>
      </c>
      <c r="P377" s="141">
        <f t="shared" si="473"/>
        <v>79.56</v>
      </c>
      <c r="Q377" s="83">
        <f t="shared" si="474"/>
        <v>139.22999999999999</v>
      </c>
      <c r="R377" s="83">
        <f t="shared" si="475"/>
        <v>0</v>
      </c>
      <c r="S377" s="83">
        <f t="shared" si="476"/>
        <v>218.79</v>
      </c>
      <c r="T377" s="83">
        <f t="shared" si="477"/>
        <v>1989</v>
      </c>
      <c r="U377" s="83">
        <f t="shared" si="478"/>
        <v>2207.79</v>
      </c>
      <c r="V377" s="83"/>
      <c r="W377" s="83"/>
      <c r="X377" s="83">
        <v>0</v>
      </c>
      <c r="Y377" s="84">
        <f t="shared" si="479"/>
        <v>-72.421839999999975</v>
      </c>
      <c r="Z377" s="83">
        <f t="shared" si="480"/>
        <v>0</v>
      </c>
      <c r="AA377" s="142">
        <f t="shared" si="481"/>
        <v>72.42</v>
      </c>
      <c r="AB377" s="142">
        <f t="shared" si="482"/>
        <v>2280.21</v>
      </c>
      <c r="AC377" s="143">
        <f>[2]PORTADA!$D$10</f>
        <v>1</v>
      </c>
      <c r="AD377" s="138"/>
      <c r="AE377" s="40">
        <v>13</v>
      </c>
    </row>
    <row r="378" spans="1:31" s="40" customFormat="1" ht="36" customHeight="1">
      <c r="A378" s="105">
        <v>215</v>
      </c>
      <c r="B378" s="179"/>
      <c r="C378" s="179"/>
      <c r="D378" s="68" t="s">
        <v>356</v>
      </c>
      <c r="E378" s="76"/>
      <c r="F378" s="249"/>
      <c r="G378" s="241"/>
      <c r="H378" s="75" t="s">
        <v>354</v>
      </c>
      <c r="I378" s="242">
        <v>15</v>
      </c>
      <c r="J378" s="248" t="s">
        <v>272</v>
      </c>
      <c r="K378" s="243"/>
      <c r="L378" s="244">
        <v>0</v>
      </c>
      <c r="M378" s="245">
        <v>0</v>
      </c>
      <c r="N378" s="108">
        <f>2563/15</f>
        <v>170.86666666666667</v>
      </c>
      <c r="O378" s="83">
        <f t="shared" si="472"/>
        <v>2563</v>
      </c>
      <c r="P378" s="141">
        <f t="shared" si="473"/>
        <v>102.52</v>
      </c>
      <c r="Q378" s="83">
        <f t="shared" si="474"/>
        <v>179.41</v>
      </c>
      <c r="R378" s="83">
        <f t="shared" si="475"/>
        <v>0</v>
      </c>
      <c r="S378" s="83">
        <f t="shared" si="476"/>
        <v>281.93</v>
      </c>
      <c r="T378" s="83">
        <f t="shared" si="477"/>
        <v>2563</v>
      </c>
      <c r="U378" s="83">
        <f t="shared" si="478"/>
        <v>2844.93</v>
      </c>
      <c r="V378" s="83"/>
      <c r="W378" s="83"/>
      <c r="X378" s="83">
        <v>0</v>
      </c>
      <c r="Y378" s="84">
        <f t="shared" si="479"/>
        <v>14.421311999999972</v>
      </c>
      <c r="Z378" s="83">
        <f t="shared" si="480"/>
        <v>14.42</v>
      </c>
      <c r="AA378" s="142">
        <f t="shared" si="481"/>
        <v>0</v>
      </c>
      <c r="AB378" s="142">
        <f t="shared" si="482"/>
        <v>2830.5099999999998</v>
      </c>
      <c r="AC378" s="143">
        <f>[2]PORTADA!$D$10</f>
        <v>1</v>
      </c>
      <c r="AD378" s="138"/>
      <c r="AE378" s="40">
        <v>14</v>
      </c>
    </row>
    <row r="379" spans="1:31" s="40" customFormat="1" ht="36" customHeight="1">
      <c r="A379" s="105">
        <v>216</v>
      </c>
      <c r="B379" s="179"/>
      <c r="C379" s="179"/>
      <c r="D379" s="128" t="s">
        <v>50</v>
      </c>
      <c r="E379" s="150" t="s">
        <v>202</v>
      </c>
      <c r="F379" s="150" t="s">
        <v>235</v>
      </c>
      <c r="G379" s="66"/>
      <c r="H379" s="75" t="s">
        <v>350</v>
      </c>
      <c r="I379" s="132">
        <v>15</v>
      </c>
      <c r="J379" s="251" t="s">
        <v>272</v>
      </c>
      <c r="K379" s="132"/>
      <c r="L379" s="138">
        <v>0</v>
      </c>
      <c r="M379" s="139">
        <v>0</v>
      </c>
      <c r="N379" s="80">
        <f>1433/15</f>
        <v>95.533333333333331</v>
      </c>
      <c r="O379" s="83">
        <f t="shared" si="472"/>
        <v>1433</v>
      </c>
      <c r="P379" s="141">
        <f t="shared" si="473"/>
        <v>57.32</v>
      </c>
      <c r="Q379" s="83">
        <f t="shared" si="474"/>
        <v>100.31</v>
      </c>
      <c r="R379" s="83">
        <f t="shared" si="475"/>
        <v>0</v>
      </c>
      <c r="S379" s="83">
        <f t="shared" si="476"/>
        <v>157.63</v>
      </c>
      <c r="T379" s="83">
        <f t="shared" si="477"/>
        <v>1433</v>
      </c>
      <c r="U379" s="83">
        <f t="shared" si="478"/>
        <v>1590.63</v>
      </c>
      <c r="V379" s="83"/>
      <c r="W379" s="83"/>
      <c r="X379" s="83">
        <v>0</v>
      </c>
      <c r="Y379" s="84">
        <f t="shared" si="479"/>
        <v>-120.00583999999998</v>
      </c>
      <c r="Z379" s="83">
        <f t="shared" si="480"/>
        <v>0</v>
      </c>
      <c r="AA379" s="142">
        <f t="shared" si="481"/>
        <v>120</v>
      </c>
      <c r="AB379" s="142">
        <f t="shared" si="482"/>
        <v>1710.63</v>
      </c>
      <c r="AC379" s="143">
        <f>[2]PORTADA!$D$10</f>
        <v>1</v>
      </c>
      <c r="AD379" s="138"/>
      <c r="AE379" s="40">
        <v>15</v>
      </c>
    </row>
    <row r="380" spans="1:31" s="40" customFormat="1" ht="36" customHeight="1">
      <c r="A380" s="105">
        <v>217</v>
      </c>
      <c r="B380" s="179"/>
      <c r="C380" s="179"/>
      <c r="D380" s="68" t="s">
        <v>345</v>
      </c>
      <c r="E380" s="104" t="s">
        <v>404</v>
      </c>
      <c r="F380" s="102" t="s">
        <v>405</v>
      </c>
      <c r="G380" s="241"/>
      <c r="H380" s="75" t="s">
        <v>57</v>
      </c>
      <c r="I380" s="242">
        <v>15</v>
      </c>
      <c r="J380" s="248" t="s">
        <v>272</v>
      </c>
      <c r="K380" s="243"/>
      <c r="L380" s="244">
        <v>0</v>
      </c>
      <c r="M380" s="245">
        <v>0</v>
      </c>
      <c r="N380" s="108">
        <f>2822/15</f>
        <v>188.13333333333333</v>
      </c>
      <c r="O380" s="83">
        <f t="shared" si="472"/>
        <v>2822</v>
      </c>
      <c r="P380" s="141">
        <f t="shared" si="473"/>
        <v>112.88</v>
      </c>
      <c r="Q380" s="83">
        <f t="shared" si="474"/>
        <v>197.54</v>
      </c>
      <c r="R380" s="83">
        <f t="shared" si="475"/>
        <v>0</v>
      </c>
      <c r="S380" s="83">
        <f t="shared" si="476"/>
        <v>310.42</v>
      </c>
      <c r="T380" s="83">
        <f t="shared" si="477"/>
        <v>2822</v>
      </c>
      <c r="U380" s="83">
        <f t="shared" si="478"/>
        <v>3132.42</v>
      </c>
      <c r="V380" s="83"/>
      <c r="W380" s="83"/>
      <c r="X380" s="83">
        <v>0</v>
      </c>
      <c r="Y380" s="84">
        <f t="shared" si="479"/>
        <v>57.600511999999981</v>
      </c>
      <c r="Z380" s="83">
        <f t="shared" si="480"/>
        <v>57.6</v>
      </c>
      <c r="AA380" s="142">
        <f t="shared" si="481"/>
        <v>0</v>
      </c>
      <c r="AB380" s="142">
        <f t="shared" si="482"/>
        <v>3074.82</v>
      </c>
      <c r="AC380" s="143">
        <f>[2]PORTADA!$D$10</f>
        <v>1</v>
      </c>
      <c r="AD380" s="138"/>
      <c r="AE380" s="40">
        <v>16</v>
      </c>
    </row>
    <row r="381" spans="1:31" s="40" customFormat="1" ht="36" customHeight="1">
      <c r="A381" s="105">
        <v>218</v>
      </c>
      <c r="B381" s="179"/>
      <c r="C381" s="179"/>
      <c r="D381" s="68" t="s">
        <v>360</v>
      </c>
      <c r="E381" s="104" t="s">
        <v>406</v>
      </c>
      <c r="F381" s="102" t="s">
        <v>407</v>
      </c>
      <c r="G381" s="241"/>
      <c r="H381" s="75" t="s">
        <v>361</v>
      </c>
      <c r="I381" s="242">
        <v>15</v>
      </c>
      <c r="J381" s="248" t="s">
        <v>272</v>
      </c>
      <c r="K381" s="243"/>
      <c r="L381" s="244">
        <v>0</v>
      </c>
      <c r="M381" s="245">
        <v>0</v>
      </c>
      <c r="N381" s="108">
        <f>2775/15</f>
        <v>185</v>
      </c>
      <c r="O381" s="83">
        <f t="shared" si="472"/>
        <v>2775</v>
      </c>
      <c r="P381" s="141">
        <f t="shared" si="473"/>
        <v>111</v>
      </c>
      <c r="Q381" s="83">
        <f t="shared" si="474"/>
        <v>194.25</v>
      </c>
      <c r="R381" s="83">
        <f t="shared" si="475"/>
        <v>0</v>
      </c>
      <c r="S381" s="83">
        <f t="shared" si="476"/>
        <v>305.25</v>
      </c>
      <c r="T381" s="83">
        <f t="shared" si="477"/>
        <v>2775</v>
      </c>
      <c r="U381" s="83">
        <f t="shared" si="478"/>
        <v>3080.25</v>
      </c>
      <c r="V381" s="83"/>
      <c r="W381" s="83"/>
      <c r="X381" s="83">
        <v>0</v>
      </c>
      <c r="Y381" s="84">
        <f t="shared" si="479"/>
        <v>52.48691199999999</v>
      </c>
      <c r="Z381" s="83">
        <f t="shared" si="480"/>
        <v>52.48</v>
      </c>
      <c r="AA381" s="142">
        <f t="shared" si="481"/>
        <v>0</v>
      </c>
      <c r="AB381" s="142">
        <f t="shared" si="482"/>
        <v>3027.77</v>
      </c>
      <c r="AC381" s="143">
        <f>[2]PORTADA!$D$10</f>
        <v>1</v>
      </c>
      <c r="AD381" s="138"/>
      <c r="AE381" s="40">
        <v>17</v>
      </c>
    </row>
    <row r="382" spans="1:31" s="40" customFormat="1" ht="36" customHeight="1">
      <c r="A382" s="105">
        <v>219</v>
      </c>
      <c r="B382" s="179"/>
      <c r="C382" s="179"/>
      <c r="D382" s="68" t="s">
        <v>338</v>
      </c>
      <c r="E382" s="104" t="s">
        <v>414</v>
      </c>
      <c r="F382" s="102" t="s">
        <v>415</v>
      </c>
      <c r="G382" s="66"/>
      <c r="H382" s="75" t="s">
        <v>30</v>
      </c>
      <c r="I382" s="252">
        <v>15</v>
      </c>
      <c r="J382" s="251" t="s">
        <v>272</v>
      </c>
      <c r="K382" s="132"/>
      <c r="L382" s="138">
        <v>0</v>
      </c>
      <c r="M382" s="139">
        <v>0</v>
      </c>
      <c r="N382" s="80">
        <f>2622/15</f>
        <v>174.8</v>
      </c>
      <c r="O382" s="83">
        <f t="shared" si="472"/>
        <v>2622</v>
      </c>
      <c r="P382" s="141">
        <f t="shared" si="473"/>
        <v>104.88</v>
      </c>
      <c r="Q382" s="83">
        <f t="shared" si="474"/>
        <v>183.54</v>
      </c>
      <c r="R382" s="83">
        <f t="shared" si="475"/>
        <v>0</v>
      </c>
      <c r="S382" s="83">
        <f t="shared" si="476"/>
        <v>288.42</v>
      </c>
      <c r="T382" s="83">
        <f t="shared" si="477"/>
        <v>2622</v>
      </c>
      <c r="U382" s="83">
        <f t="shared" si="478"/>
        <v>2910.42</v>
      </c>
      <c r="V382" s="83"/>
      <c r="W382" s="83"/>
      <c r="X382" s="83">
        <v>0</v>
      </c>
      <c r="Y382" s="84">
        <f t="shared" si="479"/>
        <v>20.84051199999999</v>
      </c>
      <c r="Z382" s="83">
        <f t="shared" si="480"/>
        <v>20.84</v>
      </c>
      <c r="AA382" s="142">
        <f t="shared" si="481"/>
        <v>0</v>
      </c>
      <c r="AB382" s="142">
        <f t="shared" si="482"/>
        <v>2889.58</v>
      </c>
      <c r="AC382" s="143">
        <f>[2]PORTADA!$D$10</f>
        <v>1</v>
      </c>
      <c r="AD382" s="138"/>
      <c r="AE382" s="40">
        <v>18</v>
      </c>
    </row>
    <row r="383" spans="1:31" s="40" customFormat="1" ht="36" customHeight="1">
      <c r="A383" s="105">
        <v>220</v>
      </c>
      <c r="B383" s="179"/>
      <c r="C383" s="179"/>
      <c r="D383" s="68" t="s">
        <v>362</v>
      </c>
      <c r="E383" s="104" t="s">
        <v>408</v>
      </c>
      <c r="F383" s="102" t="s">
        <v>409</v>
      </c>
      <c r="G383" s="241"/>
      <c r="H383" s="75" t="s">
        <v>361</v>
      </c>
      <c r="I383" s="242">
        <v>15</v>
      </c>
      <c r="J383" s="248" t="s">
        <v>272</v>
      </c>
      <c r="K383" s="243"/>
      <c r="L383" s="244">
        <v>0</v>
      </c>
      <c r="M383" s="245">
        <v>0</v>
      </c>
      <c r="N383" s="108">
        <f>2775/15</f>
        <v>185</v>
      </c>
      <c r="O383" s="83">
        <f t="shared" si="472"/>
        <v>2775</v>
      </c>
      <c r="P383" s="141">
        <f t="shared" si="473"/>
        <v>111</v>
      </c>
      <c r="Q383" s="83">
        <f t="shared" si="474"/>
        <v>194.25</v>
      </c>
      <c r="R383" s="83">
        <f t="shared" si="475"/>
        <v>0</v>
      </c>
      <c r="S383" s="83">
        <f t="shared" si="476"/>
        <v>305.25</v>
      </c>
      <c r="T383" s="83">
        <f t="shared" si="477"/>
        <v>2775</v>
      </c>
      <c r="U383" s="83">
        <f t="shared" si="478"/>
        <v>3080.25</v>
      </c>
      <c r="V383" s="83"/>
      <c r="W383" s="83"/>
      <c r="X383" s="83">
        <v>0</v>
      </c>
      <c r="Y383" s="84">
        <f t="shared" si="479"/>
        <v>52.48691199999999</v>
      </c>
      <c r="Z383" s="83">
        <f t="shared" si="480"/>
        <v>52.48</v>
      </c>
      <c r="AA383" s="142">
        <f t="shared" si="481"/>
        <v>0</v>
      </c>
      <c r="AB383" s="142">
        <f t="shared" si="482"/>
        <v>3027.77</v>
      </c>
      <c r="AC383" s="143">
        <f>[2]PORTADA!$D$10</f>
        <v>1</v>
      </c>
      <c r="AD383" s="138"/>
      <c r="AE383" s="40">
        <v>19</v>
      </c>
    </row>
    <row r="384" spans="1:31" s="40" customFormat="1" ht="36" customHeight="1">
      <c r="A384" s="105">
        <v>221</v>
      </c>
      <c r="B384" s="179"/>
      <c r="C384" s="179"/>
      <c r="D384" s="76" t="s">
        <v>58</v>
      </c>
      <c r="E384" s="150" t="s">
        <v>207</v>
      </c>
      <c r="F384" s="150" t="s">
        <v>242</v>
      </c>
      <c r="G384" s="241"/>
      <c r="H384" s="77" t="s">
        <v>347</v>
      </c>
      <c r="I384" s="242">
        <v>15</v>
      </c>
      <c r="J384" s="248" t="s">
        <v>272</v>
      </c>
      <c r="K384" s="243"/>
      <c r="L384" s="244">
        <v>0</v>
      </c>
      <c r="M384" s="245">
        <v>0</v>
      </c>
      <c r="N384" s="108">
        <f>1496/15</f>
        <v>99.733333333333334</v>
      </c>
      <c r="O384" s="83">
        <f t="shared" si="472"/>
        <v>1496</v>
      </c>
      <c r="P384" s="141">
        <f t="shared" si="473"/>
        <v>59.84</v>
      </c>
      <c r="Q384" s="83">
        <f t="shared" si="474"/>
        <v>104.72</v>
      </c>
      <c r="R384" s="83">
        <f t="shared" si="475"/>
        <v>0</v>
      </c>
      <c r="S384" s="83">
        <f t="shared" si="476"/>
        <v>164.56</v>
      </c>
      <c r="T384" s="83">
        <f t="shared" si="477"/>
        <v>1496</v>
      </c>
      <c r="U384" s="83">
        <f t="shared" si="478"/>
        <v>1660.56</v>
      </c>
      <c r="V384" s="83"/>
      <c r="W384" s="83"/>
      <c r="X384" s="83">
        <v>0</v>
      </c>
      <c r="Y384" s="84">
        <f t="shared" si="479"/>
        <v>-115.97383999999998</v>
      </c>
      <c r="Z384" s="83">
        <f t="shared" si="480"/>
        <v>0</v>
      </c>
      <c r="AA384" s="142">
        <f t="shared" si="481"/>
        <v>115.97</v>
      </c>
      <c r="AB384" s="142">
        <f t="shared" si="482"/>
        <v>1776.53</v>
      </c>
      <c r="AC384" s="143">
        <f>[2]PORTADA!$D$10</f>
        <v>1</v>
      </c>
      <c r="AD384" s="138"/>
      <c r="AE384" s="40">
        <v>20</v>
      </c>
    </row>
    <row r="385" spans="1:31" s="40" customFormat="1" ht="36" customHeight="1">
      <c r="A385" s="105"/>
      <c r="B385" s="179"/>
      <c r="C385" s="179"/>
      <c r="D385" s="68" t="s">
        <v>617</v>
      </c>
      <c r="E385" s="150"/>
      <c r="F385" s="150"/>
      <c r="G385" s="241"/>
      <c r="H385" s="75" t="s">
        <v>695</v>
      </c>
      <c r="I385" s="72">
        <v>15</v>
      </c>
      <c r="J385" s="72" t="s">
        <v>272</v>
      </c>
      <c r="K385" s="72"/>
      <c r="L385" s="73">
        <v>0</v>
      </c>
      <c r="M385" s="74">
        <v>0</v>
      </c>
      <c r="N385" s="80">
        <v>183.15199999999999</v>
      </c>
      <c r="O385" s="81">
        <f>TRUNC(N385*I385,2)</f>
        <v>2747.28</v>
      </c>
      <c r="P385" s="82">
        <f>TRUNC(N385*I385*0.04,2)</f>
        <v>109.89</v>
      </c>
      <c r="Q385" s="81">
        <f>TRUNC(N385*0.07*I385,2)</f>
        <v>192.3</v>
      </c>
      <c r="R385" s="83">
        <f>L385</f>
        <v>0</v>
      </c>
      <c r="S385" s="81">
        <f>TRUNC(Q385+P385+(IF(R385&gt;519,519,R385))+IF(K385=0,0,K385*N385),2)</f>
        <v>302.19</v>
      </c>
      <c r="T385" s="81">
        <f>TRUNC((IF(K385=0,I385*N385,(I385-K385)*N385))+(IF(R385&lt;519,0,R385-519)),2)+M385</f>
        <v>2747.28</v>
      </c>
      <c r="U385" s="81">
        <f>S385+T385</f>
        <v>3049.4700000000003</v>
      </c>
      <c r="V385" s="81"/>
      <c r="W385" s="81"/>
      <c r="X385" s="81">
        <v>0</v>
      </c>
      <c r="Y385" s="84">
        <f>IF(N385&gt;0.01,(T385-VLOOKUP(T385,quincenal,1))*VLOOKUP(T385,quincenal,3)+VLOOKUP(T385,quincenal,2)-VLOOKUP(T385,subquincenal,2),0)</f>
        <v>49.470976000000007</v>
      </c>
      <c r="Z385" s="81">
        <f>TRUNC(IF(Y385&gt;0.01,Y385,0),2)</f>
        <v>49.47</v>
      </c>
      <c r="AA385" s="85">
        <f>TRUNC(IF(Y385&lt;0.01,-Y385,0),2)</f>
        <v>0</v>
      </c>
      <c r="AB385" s="85">
        <f>U385-W385-X385-Z385+AA385</f>
        <v>3000.0000000000005</v>
      </c>
      <c r="AC385" s="143"/>
      <c r="AD385" s="138"/>
      <c r="AE385" s="40">
        <v>21</v>
      </c>
    </row>
    <row r="386" spans="1:31" s="40" customFormat="1" ht="36" customHeight="1">
      <c r="A386" s="105"/>
      <c r="B386" s="179"/>
      <c r="C386" s="179"/>
      <c r="D386" s="68" t="s">
        <v>686</v>
      </c>
      <c r="E386" s="150"/>
      <c r="F386" s="150"/>
      <c r="G386" s="241"/>
      <c r="H386" s="75" t="s">
        <v>349</v>
      </c>
      <c r="I386" s="72">
        <v>15</v>
      </c>
      <c r="J386" s="72" t="s">
        <v>272</v>
      </c>
      <c r="K386" s="72"/>
      <c r="L386" s="73">
        <v>0</v>
      </c>
      <c r="M386" s="74">
        <v>0</v>
      </c>
      <c r="N386" s="80">
        <v>183.15199999999999</v>
      </c>
      <c r="O386" s="81">
        <f>TRUNC(N386*I386,2)</f>
        <v>2747.28</v>
      </c>
      <c r="P386" s="82">
        <f>TRUNC(N386*I386*0.04,2)</f>
        <v>109.89</v>
      </c>
      <c r="Q386" s="81">
        <f>TRUNC(N386*0.07*I386,2)</f>
        <v>192.3</v>
      </c>
      <c r="R386" s="83">
        <f>L386</f>
        <v>0</v>
      </c>
      <c r="S386" s="81">
        <f>TRUNC(Q386+P386+(IF(R386&gt;519,519,R386))+IF(K386=0,0,K386*N386),2)</f>
        <v>302.19</v>
      </c>
      <c r="T386" s="81">
        <f>TRUNC((IF(K386=0,I386*N386,(I386-K386)*N386))+(IF(R386&lt;519,0,R386-519)),2)+M386</f>
        <v>2747.28</v>
      </c>
      <c r="U386" s="81">
        <f>S386+T386</f>
        <v>3049.4700000000003</v>
      </c>
      <c r="V386" s="81"/>
      <c r="W386" s="81"/>
      <c r="X386" s="81">
        <v>0</v>
      </c>
      <c r="Y386" s="84">
        <f>IF(N386&gt;0.01,(T386-VLOOKUP(T386,quincenal,1))*VLOOKUP(T386,quincenal,3)+VLOOKUP(T386,quincenal,2)-VLOOKUP(T386,subquincenal,2),0)</f>
        <v>49.470976000000007</v>
      </c>
      <c r="Z386" s="81">
        <f>TRUNC(IF(Y386&gt;0.01,Y386,0),2)</f>
        <v>49.47</v>
      </c>
      <c r="AA386" s="85">
        <f>TRUNC(IF(Y386&lt;0.01,-Y386,0),2)</f>
        <v>0</v>
      </c>
      <c r="AB386" s="85">
        <f>U386-W386-X386-Z386+AA386</f>
        <v>3000.0000000000005</v>
      </c>
      <c r="AC386" s="143"/>
      <c r="AD386" s="138"/>
      <c r="AE386" s="40">
        <v>22</v>
      </c>
    </row>
    <row r="387" spans="1:31" s="40" customFormat="1" ht="36" customHeight="1">
      <c r="A387" s="105">
        <v>223</v>
      </c>
      <c r="B387" s="179"/>
      <c r="C387" s="179"/>
      <c r="D387" s="68" t="s">
        <v>348</v>
      </c>
      <c r="E387" s="104" t="s">
        <v>410</v>
      </c>
      <c r="F387" s="102" t="s">
        <v>411</v>
      </c>
      <c r="G387" s="241"/>
      <c r="H387" s="75" t="s">
        <v>349</v>
      </c>
      <c r="I387" s="242">
        <v>15</v>
      </c>
      <c r="J387" s="248" t="s">
        <v>272</v>
      </c>
      <c r="K387" s="243"/>
      <c r="L387" s="244">
        <v>0</v>
      </c>
      <c r="M387" s="245">
        <v>0</v>
      </c>
      <c r="N387" s="108">
        <f>2775/15</f>
        <v>185</v>
      </c>
      <c r="O387" s="83">
        <f t="shared" si="472"/>
        <v>2775</v>
      </c>
      <c r="P387" s="141">
        <f t="shared" si="473"/>
        <v>111</v>
      </c>
      <c r="Q387" s="83">
        <f t="shared" si="474"/>
        <v>194.25</v>
      </c>
      <c r="R387" s="83">
        <f t="shared" si="475"/>
        <v>0</v>
      </c>
      <c r="S387" s="83">
        <f t="shared" si="476"/>
        <v>305.25</v>
      </c>
      <c r="T387" s="83">
        <f t="shared" si="477"/>
        <v>2775</v>
      </c>
      <c r="U387" s="83">
        <f t="shared" si="478"/>
        <v>3080.25</v>
      </c>
      <c r="V387" s="83"/>
      <c r="W387" s="83"/>
      <c r="X387" s="83">
        <v>0</v>
      </c>
      <c r="Y387" s="84">
        <f t="shared" si="479"/>
        <v>52.48691199999999</v>
      </c>
      <c r="Z387" s="83">
        <f t="shared" si="480"/>
        <v>52.48</v>
      </c>
      <c r="AA387" s="142">
        <f t="shared" si="481"/>
        <v>0</v>
      </c>
      <c r="AB387" s="142">
        <f t="shared" si="482"/>
        <v>3027.77</v>
      </c>
      <c r="AC387" s="143">
        <f>[2]PORTADA!$D$10</f>
        <v>1</v>
      </c>
      <c r="AD387" s="138"/>
      <c r="AE387" s="40">
        <v>23</v>
      </c>
    </row>
    <row r="388" spans="1:31" s="40" customFormat="1" ht="36" customHeight="1">
      <c r="A388" s="105">
        <v>224</v>
      </c>
      <c r="B388" s="179"/>
      <c r="C388" s="179"/>
      <c r="D388" s="76" t="s">
        <v>552</v>
      </c>
      <c r="E388" s="76"/>
      <c r="F388" s="249"/>
      <c r="G388" s="241"/>
      <c r="H388" s="77" t="s">
        <v>57</v>
      </c>
      <c r="I388" s="242">
        <v>15</v>
      </c>
      <c r="J388" s="248" t="s">
        <v>272</v>
      </c>
      <c r="K388" s="243"/>
      <c r="L388" s="244">
        <v>0</v>
      </c>
      <c r="M388" s="245">
        <v>0</v>
      </c>
      <c r="N388" s="108">
        <f>2307/15</f>
        <v>153.80000000000001</v>
      </c>
      <c r="O388" s="83">
        <f t="shared" si="472"/>
        <v>2307</v>
      </c>
      <c r="P388" s="141">
        <f t="shared" si="473"/>
        <v>92.28</v>
      </c>
      <c r="Q388" s="83">
        <f t="shared" si="474"/>
        <v>161.49</v>
      </c>
      <c r="R388" s="83">
        <f>L388</f>
        <v>0</v>
      </c>
      <c r="S388" s="83">
        <f t="shared" si="476"/>
        <v>253.77</v>
      </c>
      <c r="T388" s="83">
        <f t="shared" si="477"/>
        <v>2307</v>
      </c>
      <c r="U388" s="83">
        <f>S388+T388</f>
        <v>2560.77</v>
      </c>
      <c r="V388" s="83"/>
      <c r="W388" s="83"/>
      <c r="X388" s="83">
        <v>0</v>
      </c>
      <c r="Y388" s="84">
        <f>IF(N388&gt;0.01,(T388-VLOOKUP(T388,quincenal,1))*VLOOKUP(T388,quincenal,3)+VLOOKUP(T388,quincenal,2)-VLOOKUP(T388,subquincenal,2),0)</f>
        <v>-27.831488000000036</v>
      </c>
      <c r="Z388" s="83">
        <f>TRUNC(IF(Y388&gt;0.01,Y388,0),2)</f>
        <v>0</v>
      </c>
      <c r="AA388" s="142">
        <f>TRUNC(IF(Y388&lt;0.01,-Y388,0),2)</f>
        <v>27.83</v>
      </c>
      <c r="AB388" s="142">
        <f>U388-W388-X388-Z388+AA388</f>
        <v>2588.6</v>
      </c>
      <c r="AC388" s="143">
        <f>[2]PORTADA!$D$10</f>
        <v>1</v>
      </c>
      <c r="AD388" s="138"/>
      <c r="AE388" s="40">
        <v>24</v>
      </c>
    </row>
    <row r="389" spans="1:31" s="40" customFormat="1" ht="12.75">
      <c r="A389" s="105"/>
      <c r="D389" s="95" t="s">
        <v>337</v>
      </c>
      <c r="E389" s="43"/>
      <c r="F389" s="43"/>
      <c r="G389" s="44"/>
      <c r="H389" s="96"/>
      <c r="I389" s="226"/>
      <c r="J389" s="226"/>
      <c r="O389" s="98">
        <f t="shared" ref="O389:AB389" si="483">SUM(O365:O388)</f>
        <v>62452.46</v>
      </c>
      <c r="P389" s="98">
        <f t="shared" si="483"/>
        <v>2498.09</v>
      </c>
      <c r="Q389" s="98">
        <f t="shared" si="483"/>
        <v>4371.6499999999996</v>
      </c>
      <c r="R389" s="98">
        <f t="shared" si="483"/>
        <v>0</v>
      </c>
      <c r="S389" s="98">
        <f t="shared" si="483"/>
        <v>6869.74</v>
      </c>
      <c r="T389" s="98">
        <f t="shared" si="483"/>
        <v>62452.46</v>
      </c>
      <c r="U389" s="98">
        <f t="shared" si="483"/>
        <v>69322.2</v>
      </c>
      <c r="V389" s="98">
        <f t="shared" si="483"/>
        <v>0</v>
      </c>
      <c r="W389" s="90">
        <f t="shared" si="483"/>
        <v>0</v>
      </c>
      <c r="X389" s="90">
        <f t="shared" si="483"/>
        <v>0</v>
      </c>
      <c r="Y389" s="98">
        <f t="shared" si="483"/>
        <v>802.85155199999974</v>
      </c>
      <c r="Z389" s="98">
        <f t="shared" si="483"/>
        <v>1402.34</v>
      </c>
      <c r="AA389" s="98">
        <f t="shared" si="483"/>
        <v>599.53000000000009</v>
      </c>
      <c r="AB389" s="98">
        <f t="shared" si="483"/>
        <v>68519.39</v>
      </c>
      <c r="AC389" s="155"/>
    </row>
    <row r="390" spans="1:31" s="40" customFormat="1">
      <c r="A390" s="105"/>
      <c r="D390" s="127"/>
      <c r="E390" s="43"/>
      <c r="F390" s="43"/>
      <c r="G390" s="225"/>
      <c r="H390" s="96"/>
      <c r="I390" s="226"/>
      <c r="J390" s="226"/>
      <c r="W390" s="54"/>
      <c r="X390" s="54"/>
    </row>
    <row r="391" spans="1:31" s="40" customFormat="1">
      <c r="A391" s="105"/>
      <c r="D391" s="127"/>
      <c r="E391" s="43"/>
      <c r="F391" s="43"/>
      <c r="G391" s="225"/>
      <c r="H391" s="96"/>
      <c r="I391" s="226"/>
      <c r="J391" s="226"/>
      <c r="O391" s="91"/>
      <c r="W391" s="54"/>
      <c r="X391" s="54"/>
      <c r="Z391" s="40" t="s">
        <v>141</v>
      </c>
    </row>
    <row r="392" spans="1:31" s="40" customFormat="1">
      <c r="A392" s="105"/>
      <c r="D392" s="127"/>
      <c r="E392" s="43"/>
      <c r="F392" s="43"/>
      <c r="G392" s="225"/>
      <c r="H392" s="96"/>
      <c r="I392" s="226"/>
      <c r="J392" s="226"/>
      <c r="W392" s="54"/>
      <c r="X392" s="54"/>
    </row>
    <row r="393" spans="1:31" s="40" customFormat="1" ht="12.75">
      <c r="A393" s="105"/>
      <c r="D393" s="164" t="s">
        <v>661</v>
      </c>
      <c r="E393" s="164"/>
      <c r="F393" s="43"/>
      <c r="G393" s="44"/>
      <c r="H393" s="96"/>
      <c r="I393" s="165" t="s">
        <v>662</v>
      </c>
      <c r="J393" s="165"/>
      <c r="K393" s="165"/>
      <c r="L393" s="165"/>
      <c r="M393" s="165"/>
      <c r="N393" s="165"/>
      <c r="O393" s="165"/>
      <c r="P393" s="165"/>
      <c r="Q393" s="165"/>
      <c r="R393" s="98"/>
      <c r="S393" s="98"/>
      <c r="T393" s="98"/>
      <c r="U393" s="98"/>
      <c r="V393" s="98"/>
      <c r="W393" s="90"/>
      <c r="X393" s="90"/>
      <c r="Y393" s="98"/>
      <c r="Z393" s="98"/>
      <c r="AA393" s="159" t="s">
        <v>663</v>
      </c>
      <c r="AB393" s="159"/>
      <c r="AC393" s="159"/>
      <c r="AD393" s="159"/>
    </row>
    <row r="394" spans="1:31" s="40" customFormat="1" ht="12.75">
      <c r="A394" s="105"/>
      <c r="D394" s="166" t="s">
        <v>572</v>
      </c>
      <c r="E394" s="166"/>
      <c r="F394" s="43"/>
      <c r="G394" s="44"/>
      <c r="H394" s="96"/>
      <c r="I394" s="163" t="s">
        <v>24</v>
      </c>
      <c r="J394" s="163"/>
      <c r="K394" s="163"/>
      <c r="L394" s="163"/>
      <c r="M394" s="163"/>
      <c r="N394" s="163"/>
      <c r="O394" s="163"/>
      <c r="P394" s="163"/>
      <c r="Q394" s="163"/>
      <c r="R394" s="98"/>
      <c r="S394" s="98"/>
      <c r="T394" s="98"/>
      <c r="U394" s="98"/>
      <c r="V394" s="98"/>
      <c r="W394" s="90"/>
      <c r="X394" s="90"/>
      <c r="Y394" s="98"/>
      <c r="Z394" s="98"/>
      <c r="AA394" s="160" t="s">
        <v>152</v>
      </c>
      <c r="AB394" s="160"/>
      <c r="AC394" s="160"/>
      <c r="AD394" s="160"/>
    </row>
    <row r="395" spans="1:31" s="40" customFormat="1">
      <c r="A395" s="105"/>
      <c r="D395" s="127"/>
      <c r="E395" s="43"/>
      <c r="F395" s="43"/>
      <c r="G395" s="225"/>
      <c r="H395" s="96"/>
      <c r="I395" s="226"/>
      <c r="J395" s="226"/>
      <c r="W395" s="54"/>
      <c r="X395" s="54"/>
    </row>
    <row r="396" spans="1:31" s="40" customFormat="1">
      <c r="A396" s="105"/>
      <c r="D396" s="127"/>
      <c r="E396" s="43"/>
      <c r="F396" s="43"/>
      <c r="G396" s="225"/>
      <c r="H396" s="96"/>
      <c r="I396" s="226"/>
      <c r="J396" s="226"/>
      <c r="W396" s="54"/>
      <c r="X396" s="54"/>
    </row>
    <row r="397" spans="1:31" s="40" customFormat="1">
      <c r="A397" s="105"/>
      <c r="D397" s="127"/>
      <c r="E397" s="43"/>
      <c r="F397" s="43"/>
      <c r="G397" s="225"/>
      <c r="H397" s="96"/>
      <c r="I397" s="226"/>
      <c r="J397" s="226"/>
      <c r="W397" s="54"/>
      <c r="X397" s="54"/>
    </row>
    <row r="398" spans="1:31" s="40" customFormat="1">
      <c r="A398" s="105"/>
      <c r="D398" s="127"/>
      <c r="E398" s="43"/>
      <c r="F398" s="43"/>
      <c r="G398" s="225"/>
      <c r="H398" s="96"/>
      <c r="I398" s="226"/>
      <c r="J398" s="226"/>
      <c r="W398" s="54"/>
      <c r="X398" s="54"/>
    </row>
    <row r="399" spans="1:31" s="40" customFormat="1">
      <c r="A399" s="105"/>
      <c r="D399" s="127"/>
      <c r="E399" s="43"/>
      <c r="F399" s="43"/>
      <c r="G399" s="225"/>
      <c r="H399" s="96"/>
      <c r="I399" s="226"/>
      <c r="J399" s="226"/>
      <c r="W399" s="54"/>
      <c r="X399" s="54"/>
    </row>
    <row r="400" spans="1:31" s="40" customFormat="1" ht="15.75">
      <c r="A400" s="253"/>
      <c r="B400" s="253"/>
      <c r="C400" s="253"/>
      <c r="D400" s="253"/>
      <c r="E400" s="253"/>
      <c r="F400" s="253"/>
      <c r="G400" s="253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  <c r="T400" s="253"/>
      <c r="U400" s="253"/>
      <c r="V400" s="253"/>
      <c r="W400" s="253"/>
      <c r="X400" s="253"/>
      <c r="Y400" s="253"/>
      <c r="Z400" s="253"/>
      <c r="AA400" s="253"/>
      <c r="AB400" s="253"/>
      <c r="AC400" s="253"/>
      <c r="AD400" s="253"/>
    </row>
    <row r="401" spans="1:31" s="40" customFormat="1" ht="12.75">
      <c r="A401" s="199"/>
      <c r="B401" s="158"/>
      <c r="C401" s="158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</row>
    <row r="402" spans="1:31" s="40" customFormat="1" ht="12.75">
      <c r="A402" s="254"/>
      <c r="B402" s="158"/>
      <c r="C402" s="158"/>
      <c r="D402" s="158"/>
      <c r="E402" s="158"/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</row>
    <row r="403" spans="1:31" s="40" customFormat="1" ht="14.25">
      <c r="A403" s="105"/>
      <c r="B403" s="106"/>
      <c r="D403" s="255"/>
      <c r="E403" s="43"/>
      <c r="F403" s="43"/>
      <c r="G403" s="225"/>
      <c r="H403" s="96"/>
      <c r="I403" s="226"/>
      <c r="J403" s="226"/>
      <c r="P403" s="246"/>
      <c r="Q403" s="146"/>
      <c r="R403" s="146"/>
      <c r="S403" s="146"/>
      <c r="T403" s="146"/>
      <c r="U403" s="146"/>
      <c r="V403" s="146"/>
      <c r="W403" s="146"/>
      <c r="X403" s="146"/>
      <c r="Y403" s="91"/>
      <c r="Z403" s="146"/>
      <c r="AA403" s="247"/>
      <c r="AB403" s="247"/>
      <c r="AC403" s="155"/>
    </row>
    <row r="404" spans="1:31" s="40" customFormat="1" ht="12.75">
      <c r="A404" s="105"/>
      <c r="B404" s="197"/>
      <c r="C404" s="197"/>
      <c r="D404" s="95"/>
      <c r="E404" s="43"/>
      <c r="F404" s="43"/>
      <c r="G404" s="44"/>
      <c r="H404" s="96"/>
      <c r="I404" s="152"/>
      <c r="J404" s="152"/>
      <c r="K404" s="152"/>
      <c r="L404" s="153"/>
      <c r="M404" s="154"/>
      <c r="N404" s="97"/>
      <c r="O404" s="146"/>
      <c r="P404" s="246"/>
      <c r="Q404" s="146"/>
      <c r="R404" s="146"/>
      <c r="S404" s="146"/>
      <c r="T404" s="146"/>
      <c r="U404" s="146"/>
      <c r="V404" s="146"/>
      <c r="W404" s="146"/>
      <c r="X404" s="146"/>
      <c r="Y404" s="91"/>
      <c r="Z404" s="146"/>
      <c r="AA404" s="247"/>
      <c r="AB404" s="247"/>
      <c r="AC404" s="155"/>
      <c r="AD404" s="153"/>
    </row>
    <row r="405" spans="1:31" s="40" customFormat="1" ht="36" customHeight="1">
      <c r="A405" s="105">
        <v>148</v>
      </c>
      <c r="B405" s="190"/>
      <c r="C405" s="190"/>
      <c r="D405" s="64" t="s">
        <v>255</v>
      </c>
      <c r="E405" s="147" t="s">
        <v>264</v>
      </c>
      <c r="F405" s="147" t="s">
        <v>715</v>
      </c>
      <c r="G405" s="66"/>
      <c r="H405" s="67" t="s">
        <v>91</v>
      </c>
      <c r="I405" s="132">
        <v>15</v>
      </c>
      <c r="J405" s="132" t="s">
        <v>18</v>
      </c>
      <c r="K405" s="132"/>
      <c r="L405" s="138">
        <v>0</v>
      </c>
      <c r="M405" s="139">
        <v>0</v>
      </c>
      <c r="N405" s="80">
        <f>3291/15</f>
        <v>219.4</v>
      </c>
      <c r="O405" s="83">
        <f>TRUNC(N405*I405,2)</f>
        <v>3291</v>
      </c>
      <c r="P405" s="141">
        <f>TRUNC(N405*I405*0.04,2)</f>
        <v>131.63999999999999</v>
      </c>
      <c r="Q405" s="83">
        <f>TRUNC(N405*0.07*I405,2)</f>
        <v>230.37</v>
      </c>
      <c r="R405" s="83">
        <f>L405</f>
        <v>0</v>
      </c>
      <c r="S405" s="83">
        <f>TRUNC(Q405+P405+(IF(R405&gt;519,519,R405))+IF(K405=0,0,K405*N405),2)</f>
        <v>362.01</v>
      </c>
      <c r="T405" s="83">
        <f>TRUNC((IF(K405=0,I405*N405,(I405-K405)*N405))+(IF(R405&lt;519,0,R405-519)),2)+M405</f>
        <v>3291</v>
      </c>
      <c r="U405" s="83">
        <f>S405+T405</f>
        <v>3653.01</v>
      </c>
      <c r="V405" s="83"/>
      <c r="W405" s="83"/>
      <c r="X405" s="83">
        <v>0</v>
      </c>
      <c r="Y405" s="84">
        <f>IF(N405&gt;0.01,(T405-VLOOKUP(T405,quincenal,1))*VLOOKUP(T405,quincenal,3)+VLOOKUP(T405,quincenal,2)-VLOOKUP(T405,subquincenal,2),0)</f>
        <v>128.877712</v>
      </c>
      <c r="Z405" s="83">
        <f>TRUNC(IF(Y405&gt;0.01,Y405,0),2)</f>
        <v>128.87</v>
      </c>
      <c r="AA405" s="142">
        <f>TRUNC(IF(Y405&lt;0.01,-Y405,0),2)</f>
        <v>0</v>
      </c>
      <c r="AB405" s="142">
        <f>U405-W405-X405-Z405+AA405</f>
        <v>3524.1400000000003</v>
      </c>
      <c r="AC405" s="143" t="e">
        <f>#REF!</f>
        <v>#REF!</v>
      </c>
      <c r="AD405" s="138"/>
      <c r="AE405" s="40">
        <v>1</v>
      </c>
    </row>
    <row r="406" spans="1:31" s="40" customFormat="1" ht="36" customHeight="1">
      <c r="A406" s="105">
        <v>152</v>
      </c>
      <c r="B406" s="179" t="s">
        <v>113</v>
      </c>
      <c r="C406" s="179" t="s">
        <v>122</v>
      </c>
      <c r="D406" s="125" t="s">
        <v>716</v>
      </c>
      <c r="E406" s="150" t="s">
        <v>717</v>
      </c>
      <c r="F406" s="65"/>
      <c r="G406" s="66"/>
      <c r="H406" s="149" t="s">
        <v>718</v>
      </c>
      <c r="I406" s="132">
        <v>15</v>
      </c>
      <c r="J406" s="132" t="s">
        <v>272</v>
      </c>
      <c r="K406" s="132"/>
      <c r="L406" s="138">
        <v>0</v>
      </c>
      <c r="M406" s="139">
        <v>0</v>
      </c>
      <c r="N406" s="80">
        <f>3291/15</f>
        <v>219.4</v>
      </c>
      <c r="O406" s="83">
        <f>TRUNC(N406*I406,2)</f>
        <v>3291</v>
      </c>
      <c r="P406" s="141">
        <f>TRUNC(N406*I406*0.04,2)</f>
        <v>131.63999999999999</v>
      </c>
      <c r="Q406" s="83">
        <f>TRUNC(N406*0.07*I406,2)</f>
        <v>230.37</v>
      </c>
      <c r="R406" s="83">
        <f>L406</f>
        <v>0</v>
      </c>
      <c r="S406" s="83">
        <f>TRUNC(Q406+P406+(IF(R406&gt;519,519,R406))+IF(K406=0,0,K406*N406),2)</f>
        <v>362.01</v>
      </c>
      <c r="T406" s="83">
        <f>TRUNC((IF(K406=0,I406*N406,(I406-K406)*N406))+(IF(R406&lt;519,0,R406-519)),2)+M406</f>
        <v>3291</v>
      </c>
      <c r="U406" s="83">
        <f>S406+T406</f>
        <v>3653.01</v>
      </c>
      <c r="V406" s="83"/>
      <c r="W406" s="83"/>
      <c r="X406" s="83">
        <v>0</v>
      </c>
      <c r="Y406" s="84">
        <f>IF(N406&gt;0.01,(T406-VLOOKUP(T406,quincenal,1))*VLOOKUP(T406,quincenal,3)+VLOOKUP(T406,quincenal,2)-VLOOKUP(T406,subquincenal,2),0)</f>
        <v>128.877712</v>
      </c>
      <c r="Z406" s="83">
        <f>TRUNC(IF(Y406&gt;0.01,Y406,0),2)</f>
        <v>128.87</v>
      </c>
      <c r="AA406" s="142">
        <f>TRUNC(IF(Y406&lt;0.01,-Y406,0),2)</f>
        <v>0</v>
      </c>
      <c r="AB406" s="142">
        <f>U406-W406-X406-Z406+AA406</f>
        <v>3524.1400000000003</v>
      </c>
      <c r="AC406" s="143">
        <f>[4]PORTADA!$D$10</f>
        <v>1</v>
      </c>
      <c r="AD406" s="138"/>
      <c r="AE406" s="40">
        <v>2</v>
      </c>
    </row>
    <row r="407" spans="1:31" s="40" customFormat="1" ht="36" customHeight="1">
      <c r="A407" s="105"/>
      <c r="B407" s="190"/>
      <c r="C407" s="190"/>
      <c r="D407" s="125" t="s">
        <v>157</v>
      </c>
      <c r="E407" s="147" t="s">
        <v>193</v>
      </c>
      <c r="F407" s="147" t="s">
        <v>719</v>
      </c>
      <c r="G407" s="148">
        <v>39083</v>
      </c>
      <c r="H407" s="149" t="s">
        <v>718</v>
      </c>
      <c r="I407" s="132">
        <v>15</v>
      </c>
      <c r="J407" s="132" t="s">
        <v>272</v>
      </c>
      <c r="K407" s="132"/>
      <c r="L407" s="138">
        <v>0</v>
      </c>
      <c r="M407" s="139">
        <v>0</v>
      </c>
      <c r="N407" s="80">
        <f>3291/15</f>
        <v>219.4</v>
      </c>
      <c r="O407" s="83">
        <f>TRUNC(N407*I407,2)</f>
        <v>3291</v>
      </c>
      <c r="P407" s="141">
        <f>TRUNC(N407*I407*0.04,2)</f>
        <v>131.63999999999999</v>
      </c>
      <c r="Q407" s="83">
        <f>TRUNC(N407*0.07*I407,2)</f>
        <v>230.37</v>
      </c>
      <c r="R407" s="83">
        <f>L407</f>
        <v>0</v>
      </c>
      <c r="S407" s="83">
        <f>TRUNC(Q407+P407+(IF(R407&gt;519,519,R407))+IF(K407=0,0,K407*N407),2)</f>
        <v>362.01</v>
      </c>
      <c r="T407" s="83">
        <f>TRUNC((IF(K407=0,I407*N407,(I407-K407)*N407))+(IF(R407&lt;519,0,R407-519)),2)+M407</f>
        <v>3291</v>
      </c>
      <c r="U407" s="83">
        <f>S407+T407</f>
        <v>3653.01</v>
      </c>
      <c r="V407" s="83"/>
      <c r="W407" s="83">
        <v>0</v>
      </c>
      <c r="X407" s="83">
        <v>0</v>
      </c>
      <c r="Y407" s="84">
        <f>IF(N407&gt;0.01,(T407-VLOOKUP(T407,quincenal,1))*VLOOKUP(T407,quincenal,3)+VLOOKUP(T407,quincenal,2)-VLOOKUP(T407,subquincenal,2),0)</f>
        <v>128.877712</v>
      </c>
      <c r="Z407" s="83">
        <f>TRUNC(IF(Y407&gt;0.01,Y407,0),2)</f>
        <v>128.87</v>
      </c>
      <c r="AA407" s="142">
        <f>TRUNC(IF(Y407&lt;0.01,-Y407,0),2)</f>
        <v>0</v>
      </c>
      <c r="AB407" s="142">
        <f>U407-W407-X407-Z407+AA407</f>
        <v>3524.1400000000003</v>
      </c>
      <c r="AC407" s="143">
        <f>[4]PORTADA!$D$10</f>
        <v>1</v>
      </c>
      <c r="AD407" s="138"/>
      <c r="AE407" s="40">
        <v>3</v>
      </c>
    </row>
    <row r="408" spans="1:31" s="40" customFormat="1" ht="36" customHeight="1">
      <c r="A408" s="105">
        <v>163</v>
      </c>
      <c r="B408" s="179" t="s">
        <v>113</v>
      </c>
      <c r="C408" s="179" t="s">
        <v>122</v>
      </c>
      <c r="D408" s="125" t="s">
        <v>173</v>
      </c>
      <c r="E408" s="147" t="s">
        <v>720</v>
      </c>
      <c r="F408" s="147" t="s">
        <v>721</v>
      </c>
      <c r="G408" s="148">
        <v>39184</v>
      </c>
      <c r="H408" s="149" t="s">
        <v>722</v>
      </c>
      <c r="I408" s="132">
        <v>15</v>
      </c>
      <c r="J408" s="132" t="s">
        <v>272</v>
      </c>
      <c r="K408" s="132"/>
      <c r="L408" s="138">
        <v>0</v>
      </c>
      <c r="M408" s="139">
        <v>0</v>
      </c>
      <c r="N408" s="80">
        <f>3291/15</f>
        <v>219.4</v>
      </c>
      <c r="O408" s="83">
        <f>TRUNC(N408*I408,2)</f>
        <v>3291</v>
      </c>
      <c r="P408" s="141">
        <f>TRUNC(N408*I408*0.04,2)</f>
        <v>131.63999999999999</v>
      </c>
      <c r="Q408" s="83">
        <f>TRUNC(N408*0.07*I408,2)</f>
        <v>230.37</v>
      </c>
      <c r="R408" s="83">
        <f>L408</f>
        <v>0</v>
      </c>
      <c r="S408" s="83">
        <f>TRUNC(Q408+P408+(IF(R408&gt;519,519,R408))+IF(K408=0,0,K408*N408),2)</f>
        <v>362.01</v>
      </c>
      <c r="T408" s="83">
        <f>TRUNC((IF(K408=0,I408*N408,(I408-K408)*N408))+(IF(R408&lt;519,0,R408-519)),2)+M408</f>
        <v>3291</v>
      </c>
      <c r="U408" s="83">
        <f>S408+T408</f>
        <v>3653.01</v>
      </c>
      <c r="V408" s="83"/>
      <c r="W408" s="83"/>
      <c r="X408" s="83">
        <v>0</v>
      </c>
      <c r="Y408" s="84">
        <f>IF(N408&gt;0.01,(T408-VLOOKUP(T408,quincenal,1))*VLOOKUP(T408,quincenal,3)+VLOOKUP(T408,quincenal,2)-VLOOKUP(T408,subquincenal,2),0)</f>
        <v>128.877712</v>
      </c>
      <c r="Z408" s="83">
        <f>TRUNC(IF(Y408&gt;0.01,Y408,0),2)</f>
        <v>128.87</v>
      </c>
      <c r="AA408" s="142">
        <f>TRUNC(IF(Y408&lt;0.01,-Y408,0),2)</f>
        <v>0</v>
      </c>
      <c r="AB408" s="142">
        <f>U408-W408-X408-Z408+AA408</f>
        <v>3524.1400000000003</v>
      </c>
      <c r="AC408" s="143"/>
      <c r="AD408" s="138"/>
      <c r="AE408" s="40">
        <v>4</v>
      </c>
    </row>
    <row r="409" spans="1:31" s="40" customFormat="1">
      <c r="A409" s="105"/>
      <c r="D409" s="127"/>
      <c r="E409" s="43"/>
      <c r="F409" s="43"/>
      <c r="G409" s="225"/>
      <c r="H409" s="96"/>
      <c r="I409" s="226"/>
      <c r="J409" s="226"/>
      <c r="O409" s="146"/>
      <c r="P409" s="246"/>
      <c r="Q409" s="146"/>
      <c r="R409" s="146"/>
      <c r="S409" s="146"/>
      <c r="T409" s="146"/>
      <c r="U409" s="146"/>
      <c r="V409" s="146"/>
      <c r="W409" s="146"/>
      <c r="X409" s="146"/>
      <c r="Y409" s="91"/>
      <c r="Z409" s="146"/>
      <c r="AA409" s="247"/>
      <c r="AB409" s="247"/>
      <c r="AC409" s="155"/>
    </row>
    <row r="410" spans="1:31" s="40" customFormat="1" ht="12.75">
      <c r="A410" s="105"/>
      <c r="H410" s="240"/>
      <c r="W410" s="54"/>
      <c r="X410" s="54"/>
      <c r="AC410" s="155" t="e">
        <f>#REF!</f>
        <v>#REF!</v>
      </c>
    </row>
    <row r="411" spans="1:31" s="40" customFormat="1">
      <c r="A411" s="105"/>
      <c r="D411" s="127"/>
      <c r="E411" s="43"/>
      <c r="F411" s="43"/>
      <c r="G411" s="225"/>
      <c r="H411" s="96"/>
      <c r="I411" s="226"/>
      <c r="J411" s="226"/>
      <c r="O411" s="98">
        <f t="shared" ref="O411:AB411" si="484">SUM(O405:O410)</f>
        <v>13164</v>
      </c>
      <c r="P411" s="98">
        <f t="shared" si="484"/>
        <v>526.55999999999995</v>
      </c>
      <c r="Q411" s="98">
        <f t="shared" si="484"/>
        <v>921.48</v>
      </c>
      <c r="R411" s="98">
        <f t="shared" si="484"/>
        <v>0</v>
      </c>
      <c r="S411" s="98">
        <f t="shared" si="484"/>
        <v>1448.04</v>
      </c>
      <c r="T411" s="98">
        <f t="shared" si="484"/>
        <v>13164</v>
      </c>
      <c r="U411" s="98">
        <f t="shared" si="484"/>
        <v>14612.04</v>
      </c>
      <c r="V411" s="98">
        <f t="shared" si="484"/>
        <v>0</v>
      </c>
      <c r="W411" s="98">
        <f t="shared" si="484"/>
        <v>0</v>
      </c>
      <c r="X411" s="98">
        <f t="shared" si="484"/>
        <v>0</v>
      </c>
      <c r="Y411" s="98">
        <f t="shared" si="484"/>
        <v>515.51084800000001</v>
      </c>
      <c r="Z411" s="98">
        <f t="shared" si="484"/>
        <v>515.48</v>
      </c>
      <c r="AA411" s="98">
        <f t="shared" si="484"/>
        <v>0</v>
      </c>
      <c r="AB411" s="98">
        <f t="shared" si="484"/>
        <v>14096.560000000001</v>
      </c>
      <c r="AC411" s="155" t="e">
        <f>#REF!</f>
        <v>#REF!</v>
      </c>
    </row>
    <row r="412" spans="1:31" s="40" customFormat="1">
      <c r="A412" s="105"/>
      <c r="D412" s="127"/>
      <c r="E412" s="43"/>
      <c r="F412" s="43"/>
      <c r="G412" s="225"/>
      <c r="H412" s="96"/>
      <c r="I412" s="226"/>
      <c r="J412" s="22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55" t="e">
        <f>#REF!</f>
        <v>#REF!</v>
      </c>
    </row>
    <row r="413" spans="1:31" s="40" customFormat="1">
      <c r="A413" s="105"/>
      <c r="D413" s="127"/>
      <c r="E413" s="43"/>
      <c r="F413" s="43"/>
      <c r="G413" s="225"/>
      <c r="H413" s="96"/>
      <c r="I413" s="226"/>
      <c r="J413" s="226"/>
      <c r="O413" s="146"/>
      <c r="P413" s="246"/>
      <c r="Q413" s="146"/>
      <c r="R413" s="146"/>
      <c r="S413" s="146"/>
      <c r="T413" s="146"/>
      <c r="U413" s="146"/>
      <c r="V413" s="146"/>
      <c r="W413" s="146"/>
      <c r="X413" s="146"/>
      <c r="Y413" s="91"/>
      <c r="Z413" s="146"/>
      <c r="AA413" s="98"/>
      <c r="AB413" s="247"/>
      <c r="AC413" s="155" t="e">
        <f>#REF!</f>
        <v>#REF!</v>
      </c>
    </row>
    <row r="414" spans="1:31" s="40" customFormat="1">
      <c r="A414" s="105"/>
      <c r="D414" s="127"/>
      <c r="E414" s="43"/>
      <c r="F414" s="43"/>
      <c r="G414" s="225"/>
      <c r="H414" s="96"/>
      <c r="I414" s="226"/>
      <c r="J414" s="226"/>
      <c r="O414" s="146"/>
      <c r="P414" s="246"/>
      <c r="Q414" s="146"/>
      <c r="R414" s="146"/>
      <c r="S414" s="146"/>
      <c r="T414" s="146"/>
      <c r="U414" s="146"/>
      <c r="V414" s="146"/>
      <c r="W414" s="146"/>
      <c r="X414" s="146"/>
      <c r="Y414" s="91"/>
      <c r="Z414" s="146"/>
      <c r="AA414" s="247"/>
      <c r="AB414" s="247"/>
      <c r="AC414" s="155" t="e">
        <f>#REF!</f>
        <v>#REF!</v>
      </c>
    </row>
    <row r="415" spans="1:31" s="40" customFormat="1">
      <c r="A415" s="105"/>
      <c r="D415" s="127"/>
      <c r="E415" s="43"/>
      <c r="F415" s="43"/>
      <c r="G415" s="225"/>
      <c r="H415" s="96"/>
      <c r="I415" s="226"/>
      <c r="J415" s="226"/>
      <c r="O415" s="146"/>
      <c r="P415" s="246"/>
      <c r="Q415" s="146"/>
      <c r="R415" s="146"/>
      <c r="S415" s="146"/>
      <c r="T415" s="146"/>
      <c r="U415" s="146"/>
      <c r="V415" s="146"/>
      <c r="W415" s="146"/>
      <c r="X415" s="146"/>
      <c r="Y415" s="91"/>
      <c r="Z415" s="146"/>
      <c r="AA415" s="247"/>
      <c r="AB415" s="247"/>
      <c r="AC415" s="155" t="e">
        <f>#REF!</f>
        <v>#REF!</v>
      </c>
    </row>
    <row r="416" spans="1:31" s="40" customFormat="1" ht="12.75">
      <c r="A416" s="105"/>
      <c r="D416" s="164" t="s">
        <v>661</v>
      </c>
      <c r="E416" s="164"/>
      <c r="F416" s="43"/>
      <c r="G416" s="44"/>
      <c r="H416" s="96"/>
      <c r="I416" s="165" t="s">
        <v>662</v>
      </c>
      <c r="J416" s="165"/>
      <c r="K416" s="165"/>
      <c r="L416" s="165"/>
      <c r="M416" s="165"/>
      <c r="N416" s="165"/>
      <c r="O416" s="165"/>
      <c r="P416" s="165"/>
      <c r="Q416" s="165"/>
      <c r="R416" s="98"/>
      <c r="S416" s="98"/>
      <c r="T416" s="98"/>
      <c r="U416" s="98"/>
      <c r="V416" s="98"/>
      <c r="W416" s="90"/>
      <c r="X416" s="90"/>
      <c r="Y416" s="98"/>
      <c r="Z416" s="98"/>
      <c r="AA416" s="159" t="s">
        <v>663</v>
      </c>
      <c r="AB416" s="159"/>
      <c r="AC416" s="159"/>
      <c r="AD416" s="159"/>
    </row>
    <row r="417" spans="1:30" s="40" customFormat="1" ht="12.75">
      <c r="A417" s="105"/>
      <c r="D417" s="166" t="s">
        <v>723</v>
      </c>
      <c r="E417" s="166"/>
      <c r="F417" s="43"/>
      <c r="G417" s="44"/>
      <c r="H417" s="96"/>
      <c r="I417" s="163" t="s">
        <v>24</v>
      </c>
      <c r="J417" s="163"/>
      <c r="K417" s="163"/>
      <c r="L417" s="163"/>
      <c r="M417" s="163"/>
      <c r="N417" s="163"/>
      <c r="O417" s="163"/>
      <c r="P417" s="163"/>
      <c r="Q417" s="163"/>
      <c r="R417" s="98"/>
      <c r="S417" s="98"/>
      <c r="T417" s="98"/>
      <c r="U417" s="98"/>
      <c r="V417" s="98"/>
      <c r="W417" s="90"/>
      <c r="X417" s="90"/>
      <c r="Y417" s="98"/>
      <c r="Z417" s="98"/>
      <c r="AA417" s="160" t="s">
        <v>152</v>
      </c>
      <c r="AB417" s="160"/>
      <c r="AC417" s="160"/>
      <c r="AD417" s="160"/>
    </row>
    <row r="418" spans="1:30" s="40" customFormat="1">
      <c r="A418" s="105"/>
      <c r="D418" s="127"/>
      <c r="E418" s="43"/>
      <c r="F418" s="43"/>
      <c r="G418" s="225"/>
      <c r="H418" s="96"/>
      <c r="I418" s="226"/>
      <c r="J418" s="226"/>
      <c r="Q418" s="54"/>
      <c r="W418" s="54"/>
      <c r="X418" s="54"/>
      <c r="AA418" s="54"/>
      <c r="AB418" s="54"/>
    </row>
    <row r="419" spans="1:30" s="40" customFormat="1">
      <c r="A419" s="105"/>
      <c r="D419" s="127"/>
      <c r="E419" s="43"/>
      <c r="F419" s="43"/>
      <c r="G419" s="225"/>
      <c r="H419" s="96"/>
      <c r="I419" s="226"/>
      <c r="J419" s="226"/>
      <c r="W419" s="54"/>
      <c r="X419" s="54"/>
      <c r="AA419" s="54"/>
      <c r="AB419" s="54"/>
    </row>
    <row r="420" spans="1:30" s="40" customFormat="1">
      <c r="A420" s="105"/>
      <c r="D420" s="127"/>
      <c r="E420" s="43"/>
      <c r="F420" s="43"/>
      <c r="G420" s="225"/>
      <c r="H420" s="96"/>
      <c r="I420" s="226"/>
      <c r="J420" s="226"/>
      <c r="W420" s="54"/>
      <c r="X420" s="54"/>
    </row>
  </sheetData>
  <sheetProtection sort="0" autoFilter="0"/>
  <autoFilter ref="A7:AD19"/>
  <sortState ref="D277:AB314">
    <sortCondition ref="D277:D314"/>
  </sortState>
  <mergeCells count="36">
    <mergeCell ref="D416:E416"/>
    <mergeCell ref="I416:Q416"/>
    <mergeCell ref="AA416:AD416"/>
    <mergeCell ref="D417:E417"/>
    <mergeCell ref="I417:Q417"/>
    <mergeCell ref="AA417:AD417"/>
    <mergeCell ref="A400:AD400"/>
    <mergeCell ref="B401:AD401"/>
    <mergeCell ref="B402:AD402"/>
    <mergeCell ref="D359:E359"/>
    <mergeCell ref="I359:Q359"/>
    <mergeCell ref="AA359:AD359"/>
    <mergeCell ref="D360:E360"/>
    <mergeCell ref="I360:Q360"/>
    <mergeCell ref="AA360:AD360"/>
    <mergeCell ref="D393:E393"/>
    <mergeCell ref="I393:Q393"/>
    <mergeCell ref="AA393:AD393"/>
    <mergeCell ref="D394:E394"/>
    <mergeCell ref="I394:Q394"/>
    <mergeCell ref="AA394:AD394"/>
    <mergeCell ref="D334:E334"/>
    <mergeCell ref="I334:Q334"/>
    <mergeCell ref="AA334:AD334"/>
    <mergeCell ref="D276:E276"/>
    <mergeCell ref="D277:E277"/>
    <mergeCell ref="I277:Q277"/>
    <mergeCell ref="I276:Q276"/>
    <mergeCell ref="D333:E333"/>
    <mergeCell ref="I333:Q333"/>
    <mergeCell ref="AA333:AD333"/>
    <mergeCell ref="B4:AD4"/>
    <mergeCell ref="B5:AD5"/>
    <mergeCell ref="AA276:AD276"/>
    <mergeCell ref="AA277:AD277"/>
    <mergeCell ref="A3:AD3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171" t="s">
        <v>135</v>
      </c>
      <c r="B1" s="172"/>
      <c r="C1" s="173"/>
      <c r="D1" s="3"/>
      <c r="E1" s="171" t="s">
        <v>136</v>
      </c>
      <c r="F1" s="172"/>
      <c r="G1" s="173"/>
      <c r="I1" s="171" t="s">
        <v>137</v>
      </c>
      <c r="J1" s="172"/>
      <c r="K1" s="173"/>
      <c r="M1" s="110">
        <v>0.01</v>
      </c>
      <c r="N1" s="110">
        <v>496.07</v>
      </c>
      <c r="O1" s="110">
        <v>0</v>
      </c>
      <c r="P1" s="110">
        <v>1.92</v>
      </c>
    </row>
    <row r="2" spans="1:16">
      <c r="A2" s="174">
        <v>2015</v>
      </c>
      <c r="B2" s="175"/>
      <c r="C2" s="176"/>
      <c r="D2" s="3"/>
      <c r="E2" s="174">
        <v>2015</v>
      </c>
      <c r="F2" s="175"/>
      <c r="G2" s="176"/>
      <c r="I2" s="174">
        <v>2015</v>
      </c>
      <c r="J2" s="175"/>
      <c r="K2" s="176"/>
      <c r="M2" s="110">
        <v>496.08</v>
      </c>
      <c r="N2" s="111">
        <v>4210.41</v>
      </c>
      <c r="O2" s="110">
        <v>9.52</v>
      </c>
      <c r="P2" s="110">
        <v>6.4</v>
      </c>
    </row>
    <row r="3" spans="1:16">
      <c r="A3" s="4" t="s">
        <v>138</v>
      </c>
      <c r="B3" s="5" t="s">
        <v>139</v>
      </c>
      <c r="C3" s="6" t="s">
        <v>140</v>
      </c>
      <c r="D3" s="3"/>
      <c r="E3" s="4" t="s">
        <v>138</v>
      </c>
      <c r="F3" s="5" t="s">
        <v>139</v>
      </c>
      <c r="G3" s="6" t="s">
        <v>140</v>
      </c>
      <c r="I3" s="4" t="s">
        <v>138</v>
      </c>
      <c r="J3" s="5" t="s">
        <v>139</v>
      </c>
      <c r="K3" s="6" t="s">
        <v>140</v>
      </c>
      <c r="M3" s="111">
        <v>4210.42</v>
      </c>
      <c r="N3" s="111">
        <v>7399.42</v>
      </c>
      <c r="O3" s="110">
        <v>247.24</v>
      </c>
      <c r="P3" s="110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6">
        <v>0.01</v>
      </c>
      <c r="F4" s="8">
        <v>0</v>
      </c>
      <c r="G4" s="9">
        <v>1.9199999999999998E-2</v>
      </c>
      <c r="I4" s="116">
        <v>0.01</v>
      </c>
      <c r="J4" s="119">
        <v>0</v>
      </c>
      <c r="K4" s="120">
        <v>1.9199999999999998E-2</v>
      </c>
      <c r="M4" s="111">
        <v>7399.43</v>
      </c>
      <c r="N4" s="111">
        <v>8601.5</v>
      </c>
      <c r="O4" s="110">
        <v>594.21</v>
      </c>
      <c r="P4" s="110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6">
        <v>244.81</v>
      </c>
      <c r="F5" s="8">
        <v>4.6500000000000004</v>
      </c>
      <c r="G5" s="9">
        <v>6.4000000000000001E-2</v>
      </c>
      <c r="I5" s="116">
        <v>114.25</v>
      </c>
      <c r="J5" s="119">
        <v>2.17</v>
      </c>
      <c r="K5" s="120">
        <v>6.4000000000000001E-2</v>
      </c>
      <c r="M5" s="111">
        <v>8601.51</v>
      </c>
      <c r="N5" s="111">
        <v>10298.35</v>
      </c>
      <c r="O5" s="110">
        <v>786.54</v>
      </c>
      <c r="P5" s="110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7">
        <v>2077.5100000000002</v>
      </c>
      <c r="F6" s="8">
        <v>121.95</v>
      </c>
      <c r="G6" s="9">
        <v>0.10879999999999999</v>
      </c>
      <c r="I6" s="116">
        <v>969.51</v>
      </c>
      <c r="J6" s="119">
        <v>56.91</v>
      </c>
      <c r="K6" s="120">
        <v>0.10879999999999999</v>
      </c>
      <c r="M6" s="111">
        <v>10298.36</v>
      </c>
      <c r="N6" s="111">
        <v>20770.29</v>
      </c>
      <c r="O6" s="111">
        <v>1090.6099999999999</v>
      </c>
      <c r="P6" s="110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7">
        <v>3651.01</v>
      </c>
      <c r="F7" s="8">
        <v>293.25</v>
      </c>
      <c r="G7" s="9">
        <v>0.16</v>
      </c>
      <c r="I7" s="117">
        <v>1703.81</v>
      </c>
      <c r="J7" s="119">
        <v>136.85</v>
      </c>
      <c r="K7" s="121">
        <v>0.16</v>
      </c>
      <c r="M7" s="111">
        <v>20770.3</v>
      </c>
      <c r="N7" s="111">
        <v>32736.83</v>
      </c>
      <c r="O7" s="111">
        <v>3327.42</v>
      </c>
      <c r="P7" s="110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7">
        <v>4244.1099999999997</v>
      </c>
      <c r="F8" s="8">
        <v>388.05</v>
      </c>
      <c r="G8" s="9">
        <v>0.1792</v>
      </c>
      <c r="I8" s="117">
        <v>1980.59</v>
      </c>
      <c r="J8" s="119">
        <v>181.09</v>
      </c>
      <c r="K8" s="120">
        <v>0.1792</v>
      </c>
      <c r="M8" s="111">
        <v>32736.84</v>
      </c>
      <c r="N8" s="111">
        <v>62500</v>
      </c>
      <c r="O8" s="111">
        <v>6141.95</v>
      </c>
      <c r="P8" s="110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7">
        <v>5081.41</v>
      </c>
      <c r="F9" s="8">
        <v>538.20000000000005</v>
      </c>
      <c r="G9" s="9">
        <v>0.21360000000000001</v>
      </c>
      <c r="I9" s="117">
        <v>2371.33</v>
      </c>
      <c r="J9" s="119">
        <v>251.16</v>
      </c>
      <c r="K9" s="120">
        <v>0.21360000000000001</v>
      </c>
      <c r="M9" s="111">
        <v>62500.01</v>
      </c>
      <c r="N9" s="111">
        <v>83333.33</v>
      </c>
      <c r="O9" s="111">
        <v>15070.9</v>
      </c>
      <c r="P9" s="110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7">
        <v>10248.459999999999</v>
      </c>
      <c r="F10" s="8">
        <v>1641.75</v>
      </c>
      <c r="G10" s="9">
        <v>0.23519999999999999</v>
      </c>
      <c r="I10" s="117">
        <v>4782.62</v>
      </c>
      <c r="J10" s="119">
        <v>766.15</v>
      </c>
      <c r="K10" s="120">
        <v>0.23519999999999999</v>
      </c>
      <c r="M10" s="111">
        <v>83333.34</v>
      </c>
      <c r="N10" s="111">
        <v>250000</v>
      </c>
      <c r="O10" s="111">
        <v>21737.57</v>
      </c>
      <c r="P10" s="110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7">
        <v>16153.06</v>
      </c>
      <c r="F11" s="8">
        <v>3030.6</v>
      </c>
      <c r="G11" s="9">
        <v>0.3</v>
      </c>
      <c r="I11" s="117">
        <v>7538.1</v>
      </c>
      <c r="J11" s="122">
        <v>1414.28</v>
      </c>
      <c r="K11" s="121">
        <v>0.3</v>
      </c>
      <c r="M11" s="112">
        <v>250000.01</v>
      </c>
      <c r="N11" s="113" t="s">
        <v>555</v>
      </c>
      <c r="O11" s="112">
        <v>78404.23</v>
      </c>
      <c r="P11" s="113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7">
        <v>30838.81</v>
      </c>
      <c r="F12" s="8">
        <v>7436.25</v>
      </c>
      <c r="G12" s="115">
        <v>0.32</v>
      </c>
      <c r="I12" s="117">
        <v>14391.45</v>
      </c>
      <c r="J12" s="122">
        <v>3470.25</v>
      </c>
      <c r="K12" s="121">
        <v>0.32</v>
      </c>
      <c r="M12" s="111"/>
      <c r="N12" s="111"/>
      <c r="O12" s="111"/>
      <c r="P12" s="110"/>
    </row>
    <row r="13" spans="1:16">
      <c r="A13" s="7">
        <v>83333.34</v>
      </c>
      <c r="B13" s="8">
        <v>21737.57</v>
      </c>
      <c r="C13" s="9">
        <v>0.34</v>
      </c>
      <c r="D13" s="35"/>
      <c r="E13" s="117">
        <v>41118.46</v>
      </c>
      <c r="F13" s="8">
        <v>10725.75</v>
      </c>
      <c r="G13" s="9">
        <v>0.34</v>
      </c>
      <c r="I13" s="117">
        <v>19188.62</v>
      </c>
      <c r="J13" s="122">
        <v>5005.3500000000004</v>
      </c>
      <c r="K13" s="121">
        <v>0.34</v>
      </c>
      <c r="M13" s="111"/>
      <c r="N13" s="111"/>
      <c r="O13" s="111"/>
      <c r="P13" s="110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8">
        <v>123355.21</v>
      </c>
      <c r="F14" s="12">
        <v>38686.35</v>
      </c>
      <c r="G14" s="13">
        <v>0.35</v>
      </c>
      <c r="I14" s="118">
        <v>57565.77</v>
      </c>
      <c r="J14" s="123">
        <v>18053.63</v>
      </c>
      <c r="K14" s="124">
        <v>0.35</v>
      </c>
      <c r="M14" s="112"/>
      <c r="N14" s="113"/>
      <c r="O14" s="112"/>
      <c r="P14" s="113"/>
    </row>
    <row r="15" spans="1:16">
      <c r="A15" s="8"/>
      <c r="B15" s="8"/>
      <c r="C15" s="114"/>
      <c r="D15" s="35"/>
      <c r="E15" s="8"/>
      <c r="F15" s="8"/>
      <c r="G15" s="114"/>
      <c r="I15" s="8"/>
      <c r="J15" s="8"/>
      <c r="K15" s="114"/>
    </row>
    <row r="16" spans="1:16">
      <c r="A16" s="8"/>
      <c r="B16" s="8"/>
      <c r="C16" s="114"/>
      <c r="D16" s="35"/>
      <c r="E16" s="8"/>
      <c r="F16" s="8"/>
      <c r="G16" s="114"/>
      <c r="I16" s="14"/>
      <c r="J16" s="14"/>
      <c r="K16" s="14"/>
    </row>
    <row r="17" spans="1:14">
      <c r="A17" s="8"/>
      <c r="B17" s="8"/>
      <c r="C17" s="114"/>
      <c r="D17" s="35"/>
      <c r="E17" s="8"/>
      <c r="F17" s="8"/>
      <c r="G17" s="114"/>
      <c r="I17" s="10" t="s">
        <v>141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14"/>
      <c r="I18" s="10"/>
      <c r="J18" s="10"/>
      <c r="K18" s="10"/>
    </row>
    <row r="19" spans="1:14">
      <c r="A19" s="167" t="s">
        <v>142</v>
      </c>
      <c r="B19" s="168"/>
      <c r="C19" s="10"/>
      <c r="E19" s="167" t="s">
        <v>142</v>
      </c>
      <c r="F19" s="168"/>
      <c r="G19" s="114"/>
      <c r="I19" s="167" t="s">
        <v>142</v>
      </c>
      <c r="J19" s="168"/>
      <c r="K19" s="10"/>
    </row>
    <row r="20" spans="1:14">
      <c r="A20" s="169">
        <f>+A2</f>
        <v>2015</v>
      </c>
      <c r="B20" s="170"/>
      <c r="C20" s="10"/>
      <c r="E20" s="169">
        <f>+E2</f>
        <v>2015</v>
      </c>
      <c r="F20" s="170"/>
      <c r="G20" s="14"/>
      <c r="I20" s="169">
        <f>+I2</f>
        <v>2015</v>
      </c>
      <c r="J20" s="170"/>
      <c r="K20" s="10"/>
      <c r="L20" s="110">
        <v>0.01</v>
      </c>
      <c r="M20" s="111">
        <v>1768.96</v>
      </c>
      <c r="N20" s="110">
        <v>407.02</v>
      </c>
    </row>
    <row r="21" spans="1:14">
      <c r="A21" s="15" t="s">
        <v>143</v>
      </c>
      <c r="B21" s="6" t="s">
        <v>144</v>
      </c>
      <c r="C21" s="10"/>
      <c r="E21" s="15" t="s">
        <v>143</v>
      </c>
      <c r="F21" s="6" t="s">
        <v>144</v>
      </c>
      <c r="G21" s="10"/>
      <c r="I21" s="15" t="s">
        <v>143</v>
      </c>
      <c r="J21" s="6" t="s">
        <v>144</v>
      </c>
      <c r="K21" s="10"/>
      <c r="L21" s="111">
        <v>1768.97</v>
      </c>
      <c r="M21" s="111">
        <v>2653.38</v>
      </c>
      <c r="N21" s="110">
        <v>406.83</v>
      </c>
    </row>
    <row r="22" spans="1:14">
      <c r="A22" s="15" t="s">
        <v>145</v>
      </c>
      <c r="B22" s="6" t="s">
        <v>146</v>
      </c>
      <c r="C22" s="10"/>
      <c r="E22" s="15" t="s">
        <v>145</v>
      </c>
      <c r="F22" s="6" t="s">
        <v>147</v>
      </c>
      <c r="G22" s="10"/>
      <c r="I22" s="15" t="s">
        <v>145</v>
      </c>
      <c r="J22" s="6" t="s">
        <v>148</v>
      </c>
      <c r="K22" s="10"/>
      <c r="L22" s="111">
        <v>2653.39</v>
      </c>
      <c r="M22" s="111">
        <v>3472.84</v>
      </c>
      <c r="N22" s="110">
        <v>406.62</v>
      </c>
    </row>
    <row r="23" spans="1:14">
      <c r="A23" s="7">
        <v>0.01</v>
      </c>
      <c r="B23" s="110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11">
        <v>3472.85</v>
      </c>
      <c r="M23" s="111">
        <v>3537.87</v>
      </c>
      <c r="N23" s="110">
        <v>392.77</v>
      </c>
    </row>
    <row r="24" spans="1:14">
      <c r="A24" s="7">
        <v>1768.97</v>
      </c>
      <c r="B24" s="110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11">
        <v>3537.88</v>
      </c>
      <c r="M24" s="111">
        <v>4446.1499999999996</v>
      </c>
      <c r="N24" s="110">
        <v>382.46</v>
      </c>
    </row>
    <row r="25" spans="1:14">
      <c r="A25" s="7">
        <v>2653.39</v>
      </c>
      <c r="B25" s="110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11">
        <v>4446.16</v>
      </c>
      <c r="M25" s="111">
        <v>4717.18</v>
      </c>
      <c r="N25" s="110">
        <v>354.23</v>
      </c>
    </row>
    <row r="26" spans="1:14">
      <c r="A26" s="7">
        <v>3472.85</v>
      </c>
      <c r="B26" s="110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11">
        <v>4717.1899999999996</v>
      </c>
      <c r="M26" s="111">
        <v>5335.42</v>
      </c>
      <c r="N26" s="110">
        <v>324.87</v>
      </c>
    </row>
    <row r="27" spans="1:14">
      <c r="A27" s="7">
        <v>3537.88</v>
      </c>
      <c r="B27" s="110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11">
        <v>5335.43</v>
      </c>
      <c r="M27" s="111">
        <v>6224.67</v>
      </c>
      <c r="N27" s="110">
        <v>294.63</v>
      </c>
    </row>
    <row r="28" spans="1:14">
      <c r="A28" s="7">
        <v>4446.16</v>
      </c>
      <c r="B28" s="110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11">
        <v>6224.68</v>
      </c>
      <c r="M28" s="111">
        <v>7113.9</v>
      </c>
      <c r="N28" s="110">
        <v>253.54</v>
      </c>
    </row>
    <row r="29" spans="1:14">
      <c r="A29" s="7">
        <v>4717.1899999999996</v>
      </c>
      <c r="B29" s="110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11">
        <v>7113.91</v>
      </c>
      <c r="M29" s="111">
        <v>7382.33</v>
      </c>
      <c r="N29" s="110">
        <v>217.61</v>
      </c>
    </row>
    <row r="30" spans="1:14" ht="13.5" thickBot="1">
      <c r="A30" s="7">
        <v>5335.43</v>
      </c>
      <c r="B30" s="110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12">
        <v>7382.34</v>
      </c>
      <c r="M30" s="113" t="s">
        <v>555</v>
      </c>
      <c r="N30" s="113">
        <v>0</v>
      </c>
    </row>
    <row r="31" spans="1:14" ht="13.5" thickTop="1">
      <c r="A31" s="7">
        <v>6224.68</v>
      </c>
      <c r="B31" s="110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10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13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131</v>
      </c>
      <c r="B37" s="32" t="s">
        <v>0</v>
      </c>
      <c r="C37" s="32" t="s">
        <v>154</v>
      </c>
      <c r="D37" s="32"/>
      <c r="E37" s="32" t="s">
        <v>149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26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29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32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36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38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41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45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49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61</v>
      </c>
      <c r="E48" s="2"/>
      <c r="F48" s="23"/>
    </row>
    <row r="49" spans="1:6">
      <c r="A49" s="24" t="s">
        <v>66</v>
      </c>
      <c r="B49" s="25" t="s">
        <v>16</v>
      </c>
      <c r="C49" s="20">
        <v>12</v>
      </c>
      <c r="D49" s="18" t="s">
        <v>68</v>
      </c>
      <c r="E49" s="2"/>
      <c r="F49" s="23"/>
    </row>
    <row r="50" spans="1:6">
      <c r="A50" s="24" t="s">
        <v>66</v>
      </c>
      <c r="B50" s="25" t="s">
        <v>66</v>
      </c>
      <c r="C50" s="20">
        <v>13</v>
      </c>
      <c r="D50" s="18" t="s">
        <v>71</v>
      </c>
      <c r="E50" s="2"/>
      <c r="F50" s="23"/>
    </row>
    <row r="51" spans="1:6">
      <c r="A51" s="24" t="s">
        <v>66</v>
      </c>
      <c r="B51" s="25" t="s">
        <v>31</v>
      </c>
      <c r="C51" s="20">
        <v>14</v>
      </c>
      <c r="D51" s="18" t="s">
        <v>75</v>
      </c>
      <c r="E51" s="2"/>
      <c r="F51" s="23"/>
    </row>
    <row r="52" spans="1:6">
      <c r="A52" s="24" t="s">
        <v>66</v>
      </c>
      <c r="B52" s="25" t="s">
        <v>76</v>
      </c>
      <c r="C52" s="20">
        <v>15</v>
      </c>
      <c r="D52" s="18" t="s">
        <v>77</v>
      </c>
      <c r="E52" s="2"/>
      <c r="F52" s="23"/>
    </row>
    <row r="53" spans="1:6">
      <c r="A53" s="24" t="s">
        <v>66</v>
      </c>
      <c r="B53" s="25" t="s">
        <v>78</v>
      </c>
      <c r="C53" s="20">
        <v>16</v>
      </c>
      <c r="D53" s="18" t="s">
        <v>79</v>
      </c>
      <c r="E53" s="2"/>
      <c r="F53" s="23"/>
    </row>
    <row r="54" spans="1:6">
      <c r="A54" s="24" t="s">
        <v>80</v>
      </c>
      <c r="B54" s="25" t="s">
        <v>16</v>
      </c>
      <c r="C54" s="20">
        <v>17</v>
      </c>
      <c r="D54" s="18" t="s">
        <v>82</v>
      </c>
      <c r="E54" s="2"/>
      <c r="F54" s="23"/>
    </row>
    <row r="55" spans="1:6">
      <c r="A55" s="24" t="s">
        <v>80</v>
      </c>
      <c r="B55" s="25" t="s">
        <v>66</v>
      </c>
      <c r="C55" s="20">
        <v>18</v>
      </c>
      <c r="D55" s="18" t="s">
        <v>85</v>
      </c>
      <c r="E55" s="2"/>
      <c r="F55" s="23"/>
    </row>
    <row r="56" spans="1:6">
      <c r="A56" s="24" t="s">
        <v>80</v>
      </c>
      <c r="B56" s="25" t="s">
        <v>80</v>
      </c>
      <c r="C56" s="20">
        <v>19</v>
      </c>
      <c r="D56" s="19" t="s">
        <v>87</v>
      </c>
      <c r="E56" s="2"/>
      <c r="F56" s="23"/>
    </row>
    <row r="57" spans="1:6">
      <c r="A57" s="24" t="s">
        <v>25</v>
      </c>
      <c r="B57" s="25" t="s">
        <v>21</v>
      </c>
      <c r="C57" s="20">
        <v>20</v>
      </c>
      <c r="D57" s="18" t="s">
        <v>88</v>
      </c>
      <c r="E57" s="2"/>
      <c r="F57" s="23"/>
    </row>
    <row r="58" spans="1:6">
      <c r="A58" s="24" t="s">
        <v>25</v>
      </c>
      <c r="B58" s="25" t="s">
        <v>66</v>
      </c>
      <c r="C58" s="20">
        <v>21</v>
      </c>
      <c r="D58" s="18" t="s">
        <v>90</v>
      </c>
      <c r="E58" s="2"/>
      <c r="F58" s="23"/>
    </row>
    <row r="59" spans="1:6">
      <c r="A59" s="24" t="s">
        <v>25</v>
      </c>
      <c r="B59" s="25" t="s">
        <v>25</v>
      </c>
      <c r="C59" s="20">
        <v>22</v>
      </c>
      <c r="D59" s="18" t="s">
        <v>92</v>
      </c>
      <c r="E59" s="2"/>
      <c r="F59" s="23"/>
    </row>
    <row r="60" spans="1:6">
      <c r="A60" s="24" t="s">
        <v>25</v>
      </c>
      <c r="B60" s="25" t="s">
        <v>31</v>
      </c>
      <c r="C60" s="20">
        <v>23</v>
      </c>
      <c r="D60" s="18" t="s">
        <v>95</v>
      </c>
      <c r="E60" s="2"/>
      <c r="F60" s="23"/>
    </row>
    <row r="61" spans="1:6">
      <c r="A61" s="24" t="s">
        <v>25</v>
      </c>
      <c r="B61" s="25" t="s">
        <v>98</v>
      </c>
      <c r="C61" s="20">
        <v>24</v>
      </c>
      <c r="D61" s="18" t="s">
        <v>100</v>
      </c>
      <c r="E61" s="2"/>
      <c r="F61" s="23"/>
    </row>
    <row r="62" spans="1:6">
      <c r="A62" s="24" t="s">
        <v>25</v>
      </c>
      <c r="B62" s="25" t="s">
        <v>105</v>
      </c>
      <c r="C62" s="20">
        <v>25</v>
      </c>
      <c r="D62" s="18" t="s">
        <v>108</v>
      </c>
      <c r="E62" s="2"/>
      <c r="F62" s="23"/>
    </row>
    <row r="63" spans="1:6">
      <c r="A63" s="24" t="s">
        <v>25</v>
      </c>
      <c r="B63" s="25" t="s">
        <v>109</v>
      </c>
      <c r="C63" s="20">
        <v>26</v>
      </c>
      <c r="D63" s="18" t="s">
        <v>112</v>
      </c>
      <c r="E63" s="2"/>
      <c r="F63" s="23"/>
    </row>
    <row r="64" spans="1:6">
      <c r="A64" s="24" t="s">
        <v>25</v>
      </c>
      <c r="B64" s="25" t="s">
        <v>113</v>
      </c>
      <c r="C64" s="20">
        <v>27</v>
      </c>
      <c r="D64" s="18" t="s">
        <v>114</v>
      </c>
      <c r="E64" s="2"/>
      <c r="F64" s="23"/>
    </row>
    <row r="65" spans="1:6">
      <c r="A65" s="24" t="s">
        <v>25</v>
      </c>
      <c r="B65" s="25" t="s">
        <v>35</v>
      </c>
      <c r="C65" s="20">
        <v>28</v>
      </c>
      <c r="D65" s="18" t="s">
        <v>115</v>
      </c>
      <c r="E65" s="2"/>
      <c r="F65" s="23"/>
    </row>
    <row r="66" spans="1:6">
      <c r="A66" s="24" t="s">
        <v>25</v>
      </c>
      <c r="B66" s="25" t="s">
        <v>116</v>
      </c>
      <c r="C66" s="20">
        <v>29</v>
      </c>
      <c r="D66" s="18" t="s">
        <v>119</v>
      </c>
      <c r="E66" s="2"/>
      <c r="F66" s="23"/>
    </row>
    <row r="67" spans="1:6">
      <c r="A67" s="24" t="s">
        <v>25</v>
      </c>
      <c r="B67" s="25" t="s">
        <v>120</v>
      </c>
      <c r="C67" s="20">
        <v>30</v>
      </c>
      <c r="D67" s="18" t="s">
        <v>121</v>
      </c>
      <c r="E67" s="2"/>
      <c r="F67" s="23"/>
    </row>
    <row r="68" spans="1:6">
      <c r="A68" s="24" t="s">
        <v>113</v>
      </c>
      <c r="B68" s="25" t="s">
        <v>122</v>
      </c>
      <c r="C68" s="20">
        <v>31</v>
      </c>
      <c r="D68" s="18" t="s">
        <v>123</v>
      </c>
      <c r="E68" s="2"/>
      <c r="F68" s="23"/>
    </row>
    <row r="69" spans="1:6" ht="13.5" thickBot="1">
      <c r="A69" s="26" t="s">
        <v>113</v>
      </c>
      <c r="B69" s="27" t="s">
        <v>129</v>
      </c>
      <c r="C69" s="28">
        <v>32</v>
      </c>
      <c r="D69" s="29" t="s">
        <v>130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:C1"/>
    <mergeCell ref="E1:G1"/>
    <mergeCell ref="I1:K1"/>
    <mergeCell ref="A2:C2"/>
    <mergeCell ref="E2:G2"/>
    <mergeCell ref="I2:K2"/>
    <mergeCell ref="A19:B19"/>
    <mergeCell ref="E19:F19"/>
    <mergeCell ref="I19:J19"/>
    <mergeCell ref="A20:B20"/>
    <mergeCell ref="E20:F20"/>
    <mergeCell ref="I20:J20"/>
  </mergeCells>
  <phoneticPr fontId="3" type="noConversion"/>
  <pageMargins left="0.75" right="0.75" top="1" bottom="1" header="0" footer="0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2" baseType="lpstr">
      <vt:lpstr>1A DE NOVIEMBRE DEFINITIVA</vt:lpstr>
      <vt:lpstr>Tablas 2015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'1A DE NOVIEMBRE DEFINITIVA'!Títulos_a_imprimir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2015-11-14T01:11:25Z</cp:lastPrinted>
  <dcterms:created xsi:type="dcterms:W3CDTF">2008-03-27T20:42:15Z</dcterms:created>
  <dcterms:modified xsi:type="dcterms:W3CDTF">2016-11-15T19:48:29Z</dcterms:modified>
</cp:coreProperties>
</file>