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10305" yWindow="-15" windowWidth="10140" windowHeight="7770" tabRatio="766"/>
  </bookViews>
  <sheets>
    <sheet name="1A DE SEPTIEMBRE 2016" sheetId="17" r:id="rId1"/>
    <sheet name="Tablas 2015" sheetId="4" r:id="rId2"/>
    <sheet name="Hoja1" sheetId="28" r:id="rId3"/>
  </sheets>
  <externalReferences>
    <externalReference r:id="rId4"/>
  </externalReferences>
  <definedNames>
    <definedName name="_Fill" hidden="1">[1]FAC96!#REF!</definedName>
    <definedName name="_xlnm._FilterDatabase" localSheetId="0" hidden="1">'1A DE SEPTIEMBRE 2016'!$A$7:$AJ$18</definedName>
    <definedName name="_Order1" hidden="1">255</definedName>
    <definedName name="_Order2" hidden="1">255</definedName>
    <definedName name="A" hidden="1">[1]FAC96!#REF!</definedName>
    <definedName name="DEPENDENCIA">'Tablas 2015'!$C$37:$E$69</definedName>
    <definedName name="DEPOSITOS">DATE(YEAR([0]!Loan_Start),MONTH([0]!Loan_Start)+Payment_Number,DAY([0]!Loan_Start))</definedName>
    <definedName name="EFECTIVO">DATE(YEAR([0]!Loan_Start),MONTH([0]!Loan_Start)+Payment_Number,DAY([0]!Loan_Start))</definedName>
    <definedName name="Header_Row">ROW(#REF!)</definedName>
    <definedName name="Last_Row" localSheetId="0">IF('1A DE SEPTIEMBRE 2016'!Values_Entered,Header_Row+'1A DE SEPTIEMBRE 2016'!Number_of_Payments,Header_Row)</definedName>
    <definedName name="Last_Row">IF('1A DE SEPTIEMBRE 2016'!Values_Entered,Header_Row+'1A DE SEPTIEMBRE 2016'!Number_of_Payments,Header_Row)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OFFSET(Full_Print,0,0,'1A DE SEPTIEMBRE 2016'!Last_Row)</definedName>
    <definedName name="Print_Area_Reset">OFFSET(Full_Print,0,0,Last_Row)</definedName>
    <definedName name="quincenal">'Tablas 2015'!$E$4:$G$14</definedName>
    <definedName name="semanal">'Tablas 2015'!$I$4:$K$14</definedName>
    <definedName name="submensual">'Tablas 2015'!$A$23:$B$33</definedName>
    <definedName name="subquincenal">'Tablas 2015'!$E$23:$F$33</definedName>
    <definedName name="subsemanal">'Tablas 2015'!$I$23:$J$33</definedName>
    <definedName name="tablas">'Tablas 2015'!$G$26</definedName>
    <definedName name="tarifa">'Tablas 2015'!$A$4:$C$14</definedName>
    <definedName name="tarifamens">'Tablas 2015'!$A$4:$C$14</definedName>
    <definedName name="_xlnm.Print_Titles" localSheetId="0">'1A DE SEPTIEMBRE 2016'!$3:$7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Y230" i="17"/>
  <c r="U230"/>
  <c r="W230" s="1"/>
  <c r="AA230" l="1"/>
  <c r="AF230" s="1"/>
  <c r="V230"/>
  <c r="X230"/>
  <c r="Z230" s="1"/>
  <c r="Y250"/>
  <c r="U250"/>
  <c r="AB230" l="1"/>
  <c r="AA250"/>
  <c r="AF250" s="1"/>
  <c r="AH230"/>
  <c r="AG230"/>
  <c r="V250"/>
  <c r="X250"/>
  <c r="Z250" s="1"/>
  <c r="AB250" s="1"/>
  <c r="W250"/>
  <c r="AI230" l="1"/>
  <c r="AH250"/>
  <c r="AG250"/>
  <c r="AI250" l="1"/>
  <c r="Y9" l="1"/>
  <c r="U9"/>
  <c r="X9" s="1"/>
  <c r="Y183"/>
  <c r="AA183" s="1"/>
  <c r="AF183" s="1"/>
  <c r="X183"/>
  <c r="W183"/>
  <c r="V183"/>
  <c r="Y156"/>
  <c r="AA156" s="1"/>
  <c r="AF156" s="1"/>
  <c r="X156"/>
  <c r="W156"/>
  <c r="V156"/>
  <c r="Y51"/>
  <c r="AA51" s="1"/>
  <c r="AF51" s="1"/>
  <c r="X51"/>
  <c r="W51"/>
  <c r="V51"/>
  <c r="Y228"/>
  <c r="U228"/>
  <c r="Y29"/>
  <c r="AA29" s="1"/>
  <c r="AF29" s="1"/>
  <c r="X29"/>
  <c r="W29"/>
  <c r="V29"/>
  <c r="AA9" l="1"/>
  <c r="V9"/>
  <c r="Z51"/>
  <c r="AB51" s="1"/>
  <c r="Z156"/>
  <c r="AB156" s="1"/>
  <c r="AF9"/>
  <c r="W9"/>
  <c r="Z9" s="1"/>
  <c r="Z183"/>
  <c r="AB183" s="1"/>
  <c r="AH183"/>
  <c r="AG183"/>
  <c r="AH156"/>
  <c r="AG156"/>
  <c r="AH51"/>
  <c r="AG51"/>
  <c r="Z29"/>
  <c r="AB29" s="1"/>
  <c r="AA228"/>
  <c r="AF228" s="1"/>
  <c r="V228"/>
  <c r="X228"/>
  <c r="W228"/>
  <c r="AH29"/>
  <c r="AG29"/>
  <c r="AB9" l="1"/>
  <c r="AI51"/>
  <c r="AI183"/>
  <c r="AH9"/>
  <c r="AG9"/>
  <c r="AI156"/>
  <c r="AI29"/>
  <c r="Z228"/>
  <c r="AB228" s="1"/>
  <c r="AH228"/>
  <c r="AG228"/>
  <c r="AI9" l="1"/>
  <c r="AI228"/>
  <c r="Y105" l="1"/>
  <c r="AA105" s="1"/>
  <c r="AF105" s="1"/>
  <c r="X105"/>
  <c r="W105"/>
  <c r="V105"/>
  <c r="Y94"/>
  <c r="U94"/>
  <c r="X94" s="1"/>
  <c r="U41"/>
  <c r="U121"/>
  <c r="V94" l="1"/>
  <c r="AA94"/>
  <c r="AF94" s="1"/>
  <c r="Z105"/>
  <c r="AB105" s="1"/>
  <c r="AH105"/>
  <c r="AG105"/>
  <c r="W94"/>
  <c r="Z94" s="1"/>
  <c r="AB94" s="1"/>
  <c r="AK258"/>
  <c r="AK259" s="1"/>
  <c r="AK260" s="1"/>
  <c r="AK223"/>
  <c r="AK224" s="1"/>
  <c r="AK225" s="1"/>
  <c r="AK226" s="1"/>
  <c r="AK227" s="1"/>
  <c r="AK228" s="1"/>
  <c r="AK229" s="1"/>
  <c r="AK231" s="1"/>
  <c r="AK232" s="1"/>
  <c r="AK233" s="1"/>
  <c r="AK234" s="1"/>
  <c r="AK235" s="1"/>
  <c r="AK236" s="1"/>
  <c r="AK237" s="1"/>
  <c r="AK238" s="1"/>
  <c r="AK239" s="1"/>
  <c r="AK240" s="1"/>
  <c r="AK241" s="1"/>
  <c r="AK242" s="1"/>
  <c r="AK243" s="1"/>
  <c r="AK244" s="1"/>
  <c r="AK245" s="1"/>
  <c r="AK246" s="1"/>
  <c r="AK247" s="1"/>
  <c r="AK248" s="1"/>
  <c r="AK249" s="1"/>
  <c r="AK251" s="1"/>
  <c r="AK252" s="1"/>
  <c r="AK253" s="1"/>
  <c r="Y229"/>
  <c r="U229"/>
  <c r="Y302"/>
  <c r="AA302" s="1"/>
  <c r="AF302" s="1"/>
  <c r="X302"/>
  <c r="W302"/>
  <c r="V302"/>
  <c r="Y42"/>
  <c r="AA42" s="1"/>
  <c r="AF42" s="1"/>
  <c r="X42"/>
  <c r="W42"/>
  <c r="V42"/>
  <c r="Y41"/>
  <c r="X41"/>
  <c r="V41"/>
  <c r="Y203"/>
  <c r="AA203" s="1"/>
  <c r="AF203" s="1"/>
  <c r="X203"/>
  <c r="W203"/>
  <c r="V203"/>
  <c r="AA229" l="1"/>
  <c r="Z42"/>
  <c r="Z302"/>
  <c r="AB302" s="1"/>
  <c r="AI105"/>
  <c r="AF229"/>
  <c r="V229"/>
  <c r="X229"/>
  <c r="W229"/>
  <c r="AH302"/>
  <c r="AG302"/>
  <c r="AH42"/>
  <c r="AG42"/>
  <c r="AB42"/>
  <c r="W41"/>
  <c r="Z41" s="1"/>
  <c r="AA41"/>
  <c r="AF41" s="1"/>
  <c r="Z203"/>
  <c r="AB203" s="1"/>
  <c r="Z229" l="1"/>
  <c r="AB229" s="1"/>
  <c r="AI302"/>
  <c r="AI94"/>
  <c r="AB41"/>
  <c r="AH229"/>
  <c r="AG229"/>
  <c r="AI42"/>
  <c r="AH41"/>
  <c r="AG41"/>
  <c r="AI203"/>
  <c r="AI229" l="1"/>
  <c r="AI41"/>
  <c r="Y243" l="1"/>
  <c r="U243"/>
  <c r="V243" l="1"/>
  <c r="X243"/>
  <c r="W243"/>
  <c r="AA243"/>
  <c r="AF243" s="1"/>
  <c r="Y30"/>
  <c r="U30"/>
  <c r="Y56"/>
  <c r="U56"/>
  <c r="Y196"/>
  <c r="U196"/>
  <c r="Y195"/>
  <c r="U195"/>
  <c r="Y28"/>
  <c r="U28"/>
  <c r="X28" s="1"/>
  <c r="Z243" l="1"/>
  <c r="AB243" s="1"/>
  <c r="AH243"/>
  <c r="AG243"/>
  <c r="W30"/>
  <c r="V30"/>
  <c r="X30"/>
  <c r="AA30"/>
  <c r="AF30" s="1"/>
  <c r="V56"/>
  <c r="X56"/>
  <c r="W56"/>
  <c r="AA56"/>
  <c r="AF56" s="1"/>
  <c r="AA28"/>
  <c r="AA195"/>
  <c r="AF195" s="1"/>
  <c r="AA196"/>
  <c r="AF196" s="1"/>
  <c r="V196"/>
  <c r="X196"/>
  <c r="W196"/>
  <c r="V195"/>
  <c r="X195"/>
  <c r="W195"/>
  <c r="W28"/>
  <c r="Z28" s="1"/>
  <c r="AF28"/>
  <c r="V28"/>
  <c r="Z30" l="1"/>
  <c r="AB30" s="1"/>
  <c r="AB28"/>
  <c r="AI243"/>
  <c r="Z195"/>
  <c r="AB195" s="1"/>
  <c r="Z196"/>
  <c r="AB196" s="1"/>
  <c r="Z56"/>
  <c r="AB56" s="1"/>
  <c r="AH30"/>
  <c r="AG30"/>
  <c r="AH56"/>
  <c r="AG56"/>
  <c r="AH196"/>
  <c r="AG196"/>
  <c r="AH195"/>
  <c r="AG195"/>
  <c r="AG28"/>
  <c r="AH28"/>
  <c r="AI30" l="1"/>
  <c r="AI56"/>
  <c r="AI195"/>
  <c r="AI196"/>
  <c r="AI28"/>
  <c r="A83" l="1"/>
  <c r="A84" s="1"/>
  <c r="A88" s="1"/>
  <c r="A89" s="1"/>
  <c r="A90" s="1"/>
  <c r="A91" s="1"/>
  <c r="A92" s="1"/>
  <c r="Y232"/>
  <c r="U232"/>
  <c r="A93" l="1"/>
  <c r="A94" s="1"/>
  <c r="A95" s="1"/>
  <c r="A96" s="1"/>
  <c r="A100" s="1"/>
  <c r="A101" s="1"/>
  <c r="A102" s="1"/>
  <c r="A103" s="1"/>
  <c r="A104" s="1"/>
  <c r="V232"/>
  <c r="X232"/>
  <c r="W232"/>
  <c r="AA232"/>
  <c r="AF232" s="1"/>
  <c r="AE184"/>
  <c r="AD184"/>
  <c r="AC184"/>
  <c r="U76"/>
  <c r="U75"/>
  <c r="AE37"/>
  <c r="AD37"/>
  <c r="AC37"/>
  <c r="A105" l="1"/>
  <c r="A106" s="1"/>
  <c r="A110" s="1"/>
  <c r="A111" s="1"/>
  <c r="A112" s="1"/>
  <c r="A116" s="1"/>
  <c r="A120" s="1"/>
  <c r="A121" s="1"/>
  <c r="A125" s="1"/>
  <c r="A126" s="1"/>
  <c r="A127" s="1"/>
  <c r="A128" s="1"/>
  <c r="A132" s="1"/>
  <c r="A133" s="1"/>
  <c r="A134" s="1"/>
  <c r="A135" s="1"/>
  <c r="A136" s="1"/>
  <c r="A139" s="1"/>
  <c r="A140" s="1"/>
  <c r="A141" s="1"/>
  <c r="A142" s="1"/>
  <c r="A146" s="1"/>
  <c r="A150" s="1"/>
  <c r="A151" s="1"/>
  <c r="A156" s="1"/>
  <c r="A157" s="1"/>
  <c r="A158" s="1"/>
  <c r="A159" s="1"/>
  <c r="A160" s="1"/>
  <c r="A161" s="1"/>
  <c r="A165" s="1"/>
  <c r="A169" s="1"/>
  <c r="A170" s="1"/>
  <c r="A175" s="1"/>
  <c r="A176" s="1"/>
  <c r="A180" s="1"/>
  <c r="A181" s="1"/>
  <c r="A182" s="1"/>
  <c r="A183" s="1"/>
  <c r="A188" s="1"/>
  <c r="A189" s="1"/>
  <c r="A194" s="1"/>
  <c r="Z232"/>
  <c r="AB232" s="1"/>
  <c r="AH232"/>
  <c r="AG232"/>
  <c r="U305"/>
  <c r="U304"/>
  <c r="U303"/>
  <c r="U301"/>
  <c r="U300"/>
  <c r="A195" l="1"/>
  <c r="A196" s="1"/>
  <c r="A200" s="1"/>
  <c r="AI232"/>
  <c r="U289"/>
  <c r="U288"/>
  <c r="U287"/>
  <c r="U286"/>
  <c r="U285"/>
  <c r="U284"/>
  <c r="U283"/>
  <c r="U282"/>
  <c r="U281"/>
  <c r="U280"/>
  <c r="U279"/>
  <c r="U278"/>
  <c r="W278" s="1"/>
  <c r="U277"/>
  <c r="U260"/>
  <c r="U259"/>
  <c r="U258"/>
  <c r="U257"/>
  <c r="U252"/>
  <c r="U253"/>
  <c r="U231"/>
  <c r="U235"/>
  <c r="U251"/>
  <c r="U249"/>
  <c r="U248"/>
  <c r="U247"/>
  <c r="U246"/>
  <c r="U245"/>
  <c r="U244"/>
  <c r="U242"/>
  <c r="U241"/>
  <c r="U240"/>
  <c r="U238"/>
  <c r="U237"/>
  <c r="U236"/>
  <c r="U239"/>
  <c r="U234"/>
  <c r="U233"/>
  <c r="U227"/>
  <c r="U226"/>
  <c r="U225"/>
  <c r="U224"/>
  <c r="U223"/>
  <c r="U222"/>
  <c r="U202"/>
  <c r="U201"/>
  <c r="U200"/>
  <c r="U189"/>
  <c r="U188"/>
  <c r="U182"/>
  <c r="U181"/>
  <c r="U180"/>
  <c r="U176"/>
  <c r="U175"/>
  <c r="U170"/>
  <c r="U169"/>
  <c r="U165"/>
  <c r="U161"/>
  <c r="U160"/>
  <c r="U159"/>
  <c r="U158"/>
  <c r="U157"/>
  <c r="U151"/>
  <c r="U150"/>
  <c r="U146"/>
  <c r="U142"/>
  <c r="U141"/>
  <c r="U140"/>
  <c r="U139"/>
  <c r="U136"/>
  <c r="U135"/>
  <c r="U134"/>
  <c r="U133"/>
  <c r="U132"/>
  <c r="U128"/>
  <c r="U127"/>
  <c r="U126"/>
  <c r="U125"/>
  <c r="U120"/>
  <c r="U116"/>
  <c r="U112"/>
  <c r="U111"/>
  <c r="U110"/>
  <c r="U106"/>
  <c r="U103"/>
  <c r="U101"/>
  <c r="U100"/>
  <c r="U96"/>
  <c r="U95"/>
  <c r="U93"/>
  <c r="U92"/>
  <c r="U91"/>
  <c r="U90"/>
  <c r="U89"/>
  <c r="U88"/>
  <c r="U84"/>
  <c r="U83"/>
  <c r="U82"/>
  <c r="U81"/>
  <c r="U77"/>
  <c r="U74"/>
  <c r="U69"/>
  <c r="U67"/>
  <c r="U68"/>
  <c r="U63"/>
  <c r="U59"/>
  <c r="U58"/>
  <c r="U52"/>
  <c r="U47"/>
  <c r="U46"/>
  <c r="U40"/>
  <c r="U36"/>
  <c r="U35"/>
  <c r="U31"/>
  <c r="U27"/>
  <c r="U23"/>
  <c r="U22"/>
  <c r="U21"/>
  <c r="U17"/>
  <c r="U16"/>
  <c r="U15"/>
  <c r="U14"/>
  <c r="U13"/>
  <c r="U12"/>
  <c r="U11"/>
  <c r="U10"/>
  <c r="Y278"/>
  <c r="A201" l="1"/>
  <c r="A202"/>
  <c r="X278"/>
  <c r="Z278" s="1"/>
  <c r="V278"/>
  <c r="AA278"/>
  <c r="AF278" s="1"/>
  <c r="AG278" s="1"/>
  <c r="A203" l="1"/>
  <c r="A204" s="1"/>
  <c r="AH278"/>
  <c r="AB278"/>
  <c r="Y95"/>
  <c r="AA95" s="1"/>
  <c r="AF95" s="1"/>
  <c r="X95"/>
  <c r="W95"/>
  <c r="V95"/>
  <c r="Y70"/>
  <c r="AA70" s="1"/>
  <c r="AF70" s="1"/>
  <c r="X70"/>
  <c r="W70"/>
  <c r="V70"/>
  <c r="Y245"/>
  <c r="Y222"/>
  <c r="Y227"/>
  <c r="Y233"/>
  <c r="W233"/>
  <c r="Y244"/>
  <c r="Y242"/>
  <c r="Y260"/>
  <c r="AA260" s="1"/>
  <c r="AF260" s="1"/>
  <c r="X260"/>
  <c r="W260"/>
  <c r="V260"/>
  <c r="A222" l="1"/>
  <c r="A223" s="1"/>
  <c r="A224" s="1"/>
  <c r="A225" s="1"/>
  <c r="A226" s="1"/>
  <c r="A227" s="1"/>
  <c r="A228" s="1"/>
  <c r="A229" s="1"/>
  <c r="A231" s="1"/>
  <c r="A232" s="1"/>
  <c r="A233" s="1"/>
  <c r="A234" s="1"/>
  <c r="A235" s="1"/>
  <c r="A236" s="1"/>
  <c r="A237" s="1"/>
  <c r="A238" s="1"/>
  <c r="A239" s="1"/>
  <c r="A241" s="1"/>
  <c r="A242" s="1"/>
  <c r="A243" s="1"/>
  <c r="A244" s="1"/>
  <c r="A245" s="1"/>
  <c r="A246" s="1"/>
  <c r="A247" s="1"/>
  <c r="A248" s="1"/>
  <c r="A249" s="1"/>
  <c r="A251" s="1"/>
  <c r="A252" s="1"/>
  <c r="A253" s="1"/>
  <c r="A257" s="1"/>
  <c r="A258" s="1"/>
  <c r="A259" s="1"/>
  <c r="A260" s="1"/>
  <c r="A205"/>
  <c r="AH95"/>
  <c r="AG95"/>
  <c r="A240"/>
  <c r="AI278"/>
  <c r="Z95"/>
  <c r="AB95" s="1"/>
  <c r="AA233"/>
  <c r="AF233" s="1"/>
  <c r="Z70"/>
  <c r="AB70" s="1"/>
  <c r="AH70"/>
  <c r="AG70"/>
  <c r="Z260"/>
  <c r="AB260" s="1"/>
  <c r="AA227"/>
  <c r="AF227" s="1"/>
  <c r="V242"/>
  <c r="X242"/>
  <c r="V244"/>
  <c r="X244"/>
  <c r="V233"/>
  <c r="X233"/>
  <c r="Z233" s="1"/>
  <c r="V227"/>
  <c r="X227"/>
  <c r="V222"/>
  <c r="X222"/>
  <c r="V245"/>
  <c r="X245"/>
  <c r="W242"/>
  <c r="AA242"/>
  <c r="AF242" s="1"/>
  <c r="W244"/>
  <c r="AA244"/>
  <c r="AF244" s="1"/>
  <c r="W227"/>
  <c r="W222"/>
  <c r="AA222"/>
  <c r="AF222" s="1"/>
  <c r="W245"/>
  <c r="AA245"/>
  <c r="AF245" s="1"/>
  <c r="AH260"/>
  <c r="AG260"/>
  <c r="A277" l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300" s="1"/>
  <c r="A301" s="1"/>
  <c r="A302" s="1"/>
  <c r="A303" s="1"/>
  <c r="A304" s="1"/>
  <c r="A305" s="1"/>
  <c r="AI70"/>
  <c r="Z244"/>
  <c r="AB244" s="1"/>
  <c r="AI95"/>
  <c r="AB233"/>
  <c r="Z227"/>
  <c r="AB227" s="1"/>
  <c r="Z242"/>
  <c r="AB242" s="1"/>
  <c r="AH222"/>
  <c r="AG222"/>
  <c r="AH242"/>
  <c r="AG242"/>
  <c r="AH233"/>
  <c r="AG233"/>
  <c r="Z245"/>
  <c r="AB245" s="1"/>
  <c r="AH227"/>
  <c r="AG227"/>
  <c r="Z222"/>
  <c r="AB222" s="1"/>
  <c r="AI260"/>
  <c r="AI242" l="1"/>
  <c r="AI227"/>
  <c r="AI233"/>
  <c r="AI244"/>
  <c r="AI222"/>
  <c r="AI245"/>
  <c r="Y259"/>
  <c r="AA259" s="1"/>
  <c r="AF259" s="1"/>
  <c r="X259"/>
  <c r="W259"/>
  <c r="V259"/>
  <c r="Y116"/>
  <c r="AA116" s="1"/>
  <c r="AF116" s="1"/>
  <c r="X116"/>
  <c r="W116"/>
  <c r="V116"/>
  <c r="V117" s="1"/>
  <c r="Z116" l="1"/>
  <c r="AB116" s="1"/>
  <c r="Z259"/>
  <c r="AB259" s="1"/>
  <c r="AH259"/>
  <c r="AG259"/>
  <c r="AH116"/>
  <c r="AG116"/>
  <c r="AI259" l="1"/>
  <c r="AI116"/>
  <c r="Y252" l="1"/>
  <c r="AA252" s="1"/>
  <c r="AF252" s="1"/>
  <c r="X252"/>
  <c r="W252"/>
  <c r="V252"/>
  <c r="Z252" l="1"/>
  <c r="AB252" s="1"/>
  <c r="AH252"/>
  <c r="AG252"/>
  <c r="AI252" l="1"/>
  <c r="AE122" l="1"/>
  <c r="AD122"/>
  <c r="AC122"/>
  <c r="Y202"/>
  <c r="AA202" s="1"/>
  <c r="AF202" s="1"/>
  <c r="X202"/>
  <c r="W202"/>
  <c r="V202"/>
  <c r="Y132"/>
  <c r="AA132" s="1"/>
  <c r="AF132" s="1"/>
  <c r="X132"/>
  <c r="W132"/>
  <c r="V132"/>
  <c r="Y170"/>
  <c r="AA170" s="1"/>
  <c r="AF170" s="1"/>
  <c r="X170"/>
  <c r="W170"/>
  <c r="V170"/>
  <c r="Y102"/>
  <c r="AA102" s="1"/>
  <c r="AF102" s="1"/>
  <c r="X102"/>
  <c r="W102"/>
  <c r="V102"/>
  <c r="Y257"/>
  <c r="AA257" s="1"/>
  <c r="AF257" s="1"/>
  <c r="X257"/>
  <c r="W257"/>
  <c r="V257"/>
  <c r="Y201"/>
  <c r="AA201" s="1"/>
  <c r="Y103"/>
  <c r="AA103" s="1"/>
  <c r="AF103" s="1"/>
  <c r="X103"/>
  <c r="W103"/>
  <c r="V103"/>
  <c r="Z132" l="1"/>
  <c r="AB132" s="1"/>
  <c r="Z170"/>
  <c r="AB170" s="1"/>
  <c r="Z102"/>
  <c r="AB102" s="1"/>
  <c r="Z257"/>
  <c r="AB257" s="1"/>
  <c r="Z103"/>
  <c r="AB103" s="1"/>
  <c r="Z202"/>
  <c r="AB202" s="1"/>
  <c r="AH202"/>
  <c r="AG202"/>
  <c r="AH132"/>
  <c r="AG132"/>
  <c r="AH170"/>
  <c r="AG170"/>
  <c r="AH102"/>
  <c r="AG102"/>
  <c r="AH257"/>
  <c r="AG257"/>
  <c r="AF201"/>
  <c r="AH103"/>
  <c r="AG103"/>
  <c r="AI132" l="1"/>
  <c r="Z201"/>
  <c r="AB201" s="1"/>
  <c r="AI102"/>
  <c r="AI170"/>
  <c r="AI202"/>
  <c r="AI257"/>
  <c r="AI103"/>
  <c r="AI201" l="1"/>
  <c r="Y93"/>
  <c r="AA93" s="1"/>
  <c r="AF93" s="1"/>
  <c r="X93"/>
  <c r="W93"/>
  <c r="V93"/>
  <c r="Y92"/>
  <c r="AA92" s="1"/>
  <c r="AF92" s="1"/>
  <c r="X92"/>
  <c r="W92"/>
  <c r="V92"/>
  <c r="Y182"/>
  <c r="AA182" s="1"/>
  <c r="AF182" s="1"/>
  <c r="X182"/>
  <c r="W182"/>
  <c r="V182"/>
  <c r="Y181"/>
  <c r="X181"/>
  <c r="W181"/>
  <c r="V181"/>
  <c r="Y121"/>
  <c r="AA121" s="1"/>
  <c r="AF121" s="1"/>
  <c r="X121"/>
  <c r="W121"/>
  <c r="V121"/>
  <c r="Y58"/>
  <c r="AA58" s="1"/>
  <c r="AF58" s="1"/>
  <c r="X58"/>
  <c r="W58"/>
  <c r="V58"/>
  <c r="Y200"/>
  <c r="AA200" s="1"/>
  <c r="AF200" s="1"/>
  <c r="AH200" s="1"/>
  <c r="X200"/>
  <c r="W200"/>
  <c r="V200"/>
  <c r="Y47"/>
  <c r="AA47" s="1"/>
  <c r="AF47" s="1"/>
  <c r="X47"/>
  <c r="W47"/>
  <c r="V47"/>
  <c r="Y279"/>
  <c r="Y112"/>
  <c r="Y135"/>
  <c r="AA135" s="1"/>
  <c r="AF135" s="1"/>
  <c r="X135"/>
  <c r="W135"/>
  <c r="V135"/>
  <c r="AA181" l="1"/>
  <c r="Z92"/>
  <c r="AB92" s="1"/>
  <c r="Z93"/>
  <c r="AB93" s="1"/>
  <c r="AH93"/>
  <c r="AG93"/>
  <c r="AH92"/>
  <c r="AG92"/>
  <c r="AA279"/>
  <c r="AF279" s="1"/>
  <c r="Z58"/>
  <c r="AB58" s="1"/>
  <c r="Z121"/>
  <c r="AB121" s="1"/>
  <c r="Z181"/>
  <c r="Z182"/>
  <c r="AB182" s="1"/>
  <c r="AH182"/>
  <c r="AG182"/>
  <c r="AH121"/>
  <c r="AG121"/>
  <c r="AH58"/>
  <c r="AG58"/>
  <c r="Z200"/>
  <c r="AB200" s="1"/>
  <c r="AI200" s="1"/>
  <c r="Z47"/>
  <c r="AB47" s="1"/>
  <c r="AH47"/>
  <c r="AG47"/>
  <c r="V279"/>
  <c r="X279"/>
  <c r="W279"/>
  <c r="Z135"/>
  <c r="AB135" s="1"/>
  <c r="V112"/>
  <c r="X112"/>
  <c r="W112"/>
  <c r="AA112"/>
  <c r="AF112" s="1"/>
  <c r="AH135"/>
  <c r="AG135"/>
  <c r="AB181" l="1"/>
  <c r="AF181"/>
  <c r="AI92"/>
  <c r="AI121"/>
  <c r="AI182"/>
  <c r="AI93"/>
  <c r="Z279"/>
  <c r="AB279" s="1"/>
  <c r="AI58"/>
  <c r="AI47"/>
  <c r="AI135"/>
  <c r="AH279"/>
  <c r="AG279"/>
  <c r="Z112"/>
  <c r="AB112" s="1"/>
  <c r="AH112"/>
  <c r="AG112"/>
  <c r="AG181" l="1"/>
  <c r="AH181"/>
  <c r="AI279"/>
  <c r="AI112"/>
  <c r="AI181" l="1"/>
  <c r="Y303"/>
  <c r="AA303" s="1"/>
  <c r="AF303" s="1"/>
  <c r="X303"/>
  <c r="W303"/>
  <c r="V303"/>
  <c r="Y69"/>
  <c r="AA69" s="1"/>
  <c r="AF69" s="1"/>
  <c r="X69"/>
  <c r="W69"/>
  <c r="V69"/>
  <c r="Y304"/>
  <c r="AA304" s="1"/>
  <c r="AF304" s="1"/>
  <c r="X304"/>
  <c r="W304"/>
  <c r="V304"/>
  <c r="Z304" l="1"/>
  <c r="AB304" s="1"/>
  <c r="Z69"/>
  <c r="AB69" s="1"/>
  <c r="Z303"/>
  <c r="AB303" s="1"/>
  <c r="AH303"/>
  <c r="AG303"/>
  <c r="AH69"/>
  <c r="AG69"/>
  <c r="AH304"/>
  <c r="AG304"/>
  <c r="AE64"/>
  <c r="AD64"/>
  <c r="AC64"/>
  <c r="Y134"/>
  <c r="AA134" s="1"/>
  <c r="AF134" s="1"/>
  <c r="X134"/>
  <c r="W134"/>
  <c r="V134"/>
  <c r="Z134" l="1"/>
  <c r="AB134" s="1"/>
  <c r="AI303"/>
  <c r="AI69"/>
  <c r="AI304"/>
  <c r="AH134"/>
  <c r="AG134"/>
  <c r="AI134" l="1"/>
  <c r="Y76"/>
  <c r="AE306"/>
  <c r="AD306"/>
  <c r="AC306"/>
  <c r="Y305"/>
  <c r="X305"/>
  <c r="Y301"/>
  <c r="V301"/>
  <c r="Y300"/>
  <c r="V300"/>
  <c r="AE113"/>
  <c r="AD113"/>
  <c r="AC113"/>
  <c r="AE107"/>
  <c r="AD107"/>
  <c r="AC107"/>
  <c r="AA76" l="1"/>
  <c r="AF76" s="1"/>
  <c r="AA300"/>
  <c r="AF300" s="1"/>
  <c r="AH300" s="1"/>
  <c r="AA305"/>
  <c r="AF305" s="1"/>
  <c r="V76"/>
  <c r="X76"/>
  <c r="W76"/>
  <c r="X301"/>
  <c r="X300"/>
  <c r="AA301"/>
  <c r="AF301" s="1"/>
  <c r="W305"/>
  <c r="Z305" s="1"/>
  <c r="Y306"/>
  <c r="W300"/>
  <c r="W301"/>
  <c r="V305"/>
  <c r="AJ18"/>
  <c r="AE18"/>
  <c r="AD18"/>
  <c r="AC18"/>
  <c r="AJ205"/>
  <c r="AE205"/>
  <c r="AD205"/>
  <c r="AC205"/>
  <c r="Y204"/>
  <c r="X204"/>
  <c r="AJ184"/>
  <c r="Y180"/>
  <c r="Y184" s="1"/>
  <c r="X180"/>
  <c r="X184" s="1"/>
  <c r="AE177"/>
  <c r="AD177"/>
  <c r="AC177"/>
  <c r="Y176"/>
  <c r="X176"/>
  <c r="AE171"/>
  <c r="AD171"/>
  <c r="AC171"/>
  <c r="Y169"/>
  <c r="X169"/>
  <c r="AE166"/>
  <c r="AD166"/>
  <c r="AC166"/>
  <c r="AE162"/>
  <c r="AD162"/>
  <c r="AC162"/>
  <c r="Y161"/>
  <c r="X161"/>
  <c r="Y160"/>
  <c r="V160"/>
  <c r="Y159"/>
  <c r="X159"/>
  <c r="Y158"/>
  <c r="V158"/>
  <c r="Y157"/>
  <c r="X157"/>
  <c r="AJ152"/>
  <c r="AE152"/>
  <c r="AD152"/>
  <c r="AC152"/>
  <c r="Y151"/>
  <c r="X151"/>
  <c r="Y150"/>
  <c r="V150"/>
  <c r="AE143"/>
  <c r="AD143"/>
  <c r="AC143"/>
  <c r="Y142"/>
  <c r="X142"/>
  <c r="Y141"/>
  <c r="AE137"/>
  <c r="AD137"/>
  <c r="AC137"/>
  <c r="Y136"/>
  <c r="Y111"/>
  <c r="X111"/>
  <c r="Y110"/>
  <c r="X110"/>
  <c r="Y106"/>
  <c r="X106"/>
  <c r="Y101"/>
  <c r="AE97"/>
  <c r="AD97"/>
  <c r="AC97"/>
  <c r="Y96"/>
  <c r="X96"/>
  <c r="AE78"/>
  <c r="AD78"/>
  <c r="AC78"/>
  <c r="AE60"/>
  <c r="AD60"/>
  <c r="AC60"/>
  <c r="AE53"/>
  <c r="AD53"/>
  <c r="AC53"/>
  <c r="AE85"/>
  <c r="AD85"/>
  <c r="AC85"/>
  <c r="Y84"/>
  <c r="AA84" s="1"/>
  <c r="AF84" s="1"/>
  <c r="X84"/>
  <c r="W84"/>
  <c r="V84"/>
  <c r="Y83"/>
  <c r="AA83" s="1"/>
  <c r="AF83" s="1"/>
  <c r="X83"/>
  <c r="W83"/>
  <c r="V83"/>
  <c r="Y82"/>
  <c r="AA82" s="1"/>
  <c r="AF82" s="1"/>
  <c r="X82"/>
  <c r="W82"/>
  <c r="V82"/>
  <c r="Y81"/>
  <c r="AA81" s="1"/>
  <c r="AF81" s="1"/>
  <c r="X81"/>
  <c r="W81"/>
  <c r="V81"/>
  <c r="V85" s="1"/>
  <c r="Y77"/>
  <c r="V77"/>
  <c r="Y59"/>
  <c r="X59"/>
  <c r="Y57"/>
  <c r="V57"/>
  <c r="Y52"/>
  <c r="X52"/>
  <c r="Y40"/>
  <c r="X40"/>
  <c r="Y36"/>
  <c r="X36"/>
  <c r="Y23"/>
  <c r="AA23" s="1"/>
  <c r="AF23" s="1"/>
  <c r="X23"/>
  <c r="W23"/>
  <c r="V23"/>
  <c r="Z300" l="1"/>
  <c r="AB300" s="1"/>
  <c r="AG300"/>
  <c r="AB305"/>
  <c r="X306"/>
  <c r="Z301"/>
  <c r="AB301" s="1"/>
  <c r="Z76"/>
  <c r="AB76" s="1"/>
  <c r="AG76"/>
  <c r="AH76"/>
  <c r="AA306"/>
  <c r="AF306"/>
  <c r="W306"/>
  <c r="AG305"/>
  <c r="AH305"/>
  <c r="AH301"/>
  <c r="AG301"/>
  <c r="V306"/>
  <c r="X113"/>
  <c r="Y113"/>
  <c r="X171"/>
  <c r="AA176"/>
  <c r="AF176" s="1"/>
  <c r="AA204"/>
  <c r="AF204" s="1"/>
  <c r="W204"/>
  <c r="Z204" s="1"/>
  <c r="V204"/>
  <c r="V205" s="1"/>
  <c r="Y171"/>
  <c r="AA161"/>
  <c r="AF161" s="1"/>
  <c r="AA169"/>
  <c r="AA180"/>
  <c r="AA184" s="1"/>
  <c r="W180"/>
  <c r="W184" s="1"/>
  <c r="V180"/>
  <c r="V184" s="1"/>
  <c r="W176"/>
  <c r="Z176" s="1"/>
  <c r="V176"/>
  <c r="W169"/>
  <c r="V169"/>
  <c r="V171" s="1"/>
  <c r="AA136"/>
  <c r="AF136" s="1"/>
  <c r="AA151"/>
  <c r="AF151" s="1"/>
  <c r="AA158"/>
  <c r="AF158" s="1"/>
  <c r="AA160"/>
  <c r="AF160" s="1"/>
  <c r="AA157"/>
  <c r="AF157" s="1"/>
  <c r="X158"/>
  <c r="AA159"/>
  <c r="AF159" s="1"/>
  <c r="X160"/>
  <c r="W157"/>
  <c r="Z157" s="1"/>
  <c r="W159"/>
  <c r="Z159" s="1"/>
  <c r="W161"/>
  <c r="Z161" s="1"/>
  <c r="V157"/>
  <c r="W158"/>
  <c r="V159"/>
  <c r="W160"/>
  <c r="V161"/>
  <c r="AA141"/>
  <c r="AF141" s="1"/>
  <c r="X150"/>
  <c r="V36"/>
  <c r="AA52"/>
  <c r="AF52" s="1"/>
  <c r="AA59"/>
  <c r="AF59" s="1"/>
  <c r="AA111"/>
  <c r="AF111" s="1"/>
  <c r="V141"/>
  <c r="AA142"/>
  <c r="AF142" s="1"/>
  <c r="AA150"/>
  <c r="Y152"/>
  <c r="W151"/>
  <c r="Z151" s="1"/>
  <c r="W150"/>
  <c r="V151"/>
  <c r="V152" s="1"/>
  <c r="X141"/>
  <c r="W142"/>
  <c r="Z142" s="1"/>
  <c r="W141"/>
  <c r="V142"/>
  <c r="V136"/>
  <c r="X136"/>
  <c r="W136"/>
  <c r="AA77"/>
  <c r="AF77" s="1"/>
  <c r="AH77" s="1"/>
  <c r="W85"/>
  <c r="Z82"/>
  <c r="AB82" s="1"/>
  <c r="AA96"/>
  <c r="AF96" s="1"/>
  <c r="AA110"/>
  <c r="W111"/>
  <c r="Z111" s="1"/>
  <c r="V111"/>
  <c r="W110"/>
  <c r="V110"/>
  <c r="V113" s="1"/>
  <c r="X57"/>
  <c r="Z84"/>
  <c r="AB84" s="1"/>
  <c r="Y85"/>
  <c r="AA85"/>
  <c r="AA57"/>
  <c r="AF57" s="1"/>
  <c r="X77"/>
  <c r="Z81"/>
  <c r="Z83"/>
  <c r="AB83" s="1"/>
  <c r="X85"/>
  <c r="AA101"/>
  <c r="AF101" s="1"/>
  <c r="AA106"/>
  <c r="AF106" s="1"/>
  <c r="W106"/>
  <c r="Z106" s="1"/>
  <c r="V106"/>
  <c r="V101"/>
  <c r="X101"/>
  <c r="W101"/>
  <c r="AF85"/>
  <c r="W96"/>
  <c r="Z96" s="1"/>
  <c r="V96"/>
  <c r="AH81"/>
  <c r="AG81"/>
  <c r="AH83"/>
  <c r="AG83"/>
  <c r="AH82"/>
  <c r="AG82"/>
  <c r="AG84"/>
  <c r="AH84"/>
  <c r="W77"/>
  <c r="W59"/>
  <c r="Z59" s="1"/>
  <c r="V59"/>
  <c r="V60" s="1"/>
  <c r="W57"/>
  <c r="W52"/>
  <c r="Z52" s="1"/>
  <c r="V52"/>
  <c r="V53" s="1"/>
  <c r="AA36"/>
  <c r="AF36" s="1"/>
  <c r="Z23"/>
  <c r="AB23" s="1"/>
  <c r="AA40"/>
  <c r="AF40" s="1"/>
  <c r="W40"/>
  <c r="Z40" s="1"/>
  <c r="V40"/>
  <c r="W36"/>
  <c r="Z36" s="1"/>
  <c r="AG23"/>
  <c r="AH23"/>
  <c r="AI300" l="1"/>
  <c r="AF180"/>
  <c r="AF184" s="1"/>
  <c r="Z158"/>
  <c r="AB158" s="1"/>
  <c r="Z77"/>
  <c r="AB77" s="1"/>
  <c r="AB161"/>
  <c r="AB52"/>
  <c r="AB176"/>
  <c r="Z160"/>
  <c r="AB160" s="1"/>
  <c r="AA171"/>
  <c r="AB111"/>
  <c r="AB159"/>
  <c r="AB157"/>
  <c r="AG160"/>
  <c r="AH160"/>
  <c r="AB59"/>
  <c r="AB151"/>
  <c r="AF169"/>
  <c r="AF171" s="1"/>
  <c r="Z306"/>
  <c r="AI305"/>
  <c r="Z57"/>
  <c r="AB57" s="1"/>
  <c r="AB204"/>
  <c r="AI76"/>
  <c r="AI301"/>
  <c r="AB306"/>
  <c r="AG306"/>
  <c r="AH306"/>
  <c r="Z110"/>
  <c r="W113"/>
  <c r="AF110"/>
  <c r="AF113" s="1"/>
  <c r="AA113"/>
  <c r="AG158"/>
  <c r="AH158"/>
  <c r="AB142"/>
  <c r="AG204"/>
  <c r="AH204"/>
  <c r="Z169"/>
  <c r="W171"/>
  <c r="Z180"/>
  <c r="Z184" s="1"/>
  <c r="AA152"/>
  <c r="AG176"/>
  <c r="AH176"/>
  <c r="Z141"/>
  <c r="AB141" s="1"/>
  <c r="AF150"/>
  <c r="AH150" s="1"/>
  <c r="AB106"/>
  <c r="AG161"/>
  <c r="AH161"/>
  <c r="AG159"/>
  <c r="AH159"/>
  <c r="AG157"/>
  <c r="AH157"/>
  <c r="AB96"/>
  <c r="AB40"/>
  <c r="AG77"/>
  <c r="AG141"/>
  <c r="AH141"/>
  <c r="Z150"/>
  <c r="W152"/>
  <c r="AB36"/>
  <c r="AI83"/>
  <c r="Z101"/>
  <c r="AB101" s="1"/>
  <c r="X152"/>
  <c r="AG151"/>
  <c r="AH151"/>
  <c r="AG142"/>
  <c r="AH142"/>
  <c r="AH136"/>
  <c r="AG136"/>
  <c r="Z136"/>
  <c r="AB136" s="1"/>
  <c r="AG111"/>
  <c r="AH111"/>
  <c r="AB81"/>
  <c r="AB85" s="1"/>
  <c r="Z85"/>
  <c r="AG106"/>
  <c r="AH106"/>
  <c r="AH101"/>
  <c r="AG101"/>
  <c r="AI84"/>
  <c r="AG96"/>
  <c r="AH96"/>
  <c r="AG85"/>
  <c r="AH85"/>
  <c r="AI82"/>
  <c r="AG59"/>
  <c r="AH59"/>
  <c r="AH57"/>
  <c r="AG57"/>
  <c r="AI23"/>
  <c r="AG40"/>
  <c r="AH40"/>
  <c r="AH36"/>
  <c r="AG36"/>
  <c r="AH180" l="1"/>
  <c r="AH184" s="1"/>
  <c r="AG180"/>
  <c r="AG184" s="1"/>
  <c r="AF152"/>
  <c r="AG169"/>
  <c r="AG171" s="1"/>
  <c r="AH205"/>
  <c r="AI160"/>
  <c r="AH110"/>
  <c r="AH113" s="1"/>
  <c r="AI77"/>
  <c r="AI81"/>
  <c r="AI85" s="1"/>
  <c r="AI158"/>
  <c r="AH169"/>
  <c r="AH171" s="1"/>
  <c r="AG110"/>
  <c r="AG113" s="1"/>
  <c r="AG150"/>
  <c r="AG152" s="1"/>
  <c r="AI306"/>
  <c r="AB110"/>
  <c r="AB113" s="1"/>
  <c r="Z113"/>
  <c r="AG205"/>
  <c r="AI157"/>
  <c r="AI204"/>
  <c r="AB180"/>
  <c r="AB184" s="1"/>
  <c r="AB169"/>
  <c r="AB171" s="1"/>
  <c r="Z171"/>
  <c r="AI161"/>
  <c r="AI176"/>
  <c r="AI59"/>
  <c r="AI96"/>
  <c r="AI141"/>
  <c r="AI159"/>
  <c r="AI151"/>
  <c r="AB150"/>
  <c r="AB152" s="1"/>
  <c r="Z152"/>
  <c r="AI142"/>
  <c r="AH152"/>
  <c r="AI136"/>
  <c r="AI111"/>
  <c r="AI36"/>
  <c r="AI57"/>
  <c r="AI106"/>
  <c r="AI101"/>
  <c r="AI52"/>
  <c r="AI40"/>
  <c r="AI110" l="1"/>
  <c r="AI113" s="1"/>
  <c r="AI169"/>
  <c r="AI171" s="1"/>
  <c r="AI180"/>
  <c r="AI184" s="1"/>
  <c r="AI150"/>
  <c r="AI152" s="1"/>
  <c r="AE71" l="1"/>
  <c r="AD71"/>
  <c r="AC71"/>
  <c r="Y139"/>
  <c r="X139"/>
  <c r="W139"/>
  <c r="V139"/>
  <c r="Y31"/>
  <c r="AA31" s="1"/>
  <c r="AF31" s="1"/>
  <c r="X31"/>
  <c r="W31"/>
  <c r="V31"/>
  <c r="Y140"/>
  <c r="AA140" s="1"/>
  <c r="AF140" s="1"/>
  <c r="X140"/>
  <c r="W140"/>
  <c r="V140"/>
  <c r="Y75"/>
  <c r="AA75" s="1"/>
  <c r="AF75" s="1"/>
  <c r="X75"/>
  <c r="W75"/>
  <c r="V75"/>
  <c r="Y67"/>
  <c r="AA67" s="1"/>
  <c r="AF67" s="1"/>
  <c r="X67"/>
  <c r="W67"/>
  <c r="V67"/>
  <c r="Y128"/>
  <c r="AA128" s="1"/>
  <c r="AF128" s="1"/>
  <c r="X128"/>
  <c r="W128"/>
  <c r="V128"/>
  <c r="Y68"/>
  <c r="AA68" s="1"/>
  <c r="AF68" s="1"/>
  <c r="X68"/>
  <c r="W68"/>
  <c r="V68"/>
  <c r="Y165"/>
  <c r="X165"/>
  <c r="X166" s="1"/>
  <c r="W165"/>
  <c r="W166" s="1"/>
  <c r="V165"/>
  <c r="V166" s="1"/>
  <c r="AE147"/>
  <c r="AD147"/>
  <c r="AC147"/>
  <c r="Y146"/>
  <c r="AA146" s="1"/>
  <c r="AF146" s="1"/>
  <c r="X146"/>
  <c r="W146"/>
  <c r="V146"/>
  <c r="V147" s="1"/>
  <c r="X205"/>
  <c r="W205"/>
  <c r="Y104"/>
  <c r="AA104" s="1"/>
  <c r="AF104" s="1"/>
  <c r="X104"/>
  <c r="W104"/>
  <c r="V104"/>
  <c r="Y189"/>
  <c r="AA189" s="1"/>
  <c r="AF189" s="1"/>
  <c r="X189"/>
  <c r="W189"/>
  <c r="V189"/>
  <c r="X53"/>
  <c r="W53"/>
  <c r="Y188"/>
  <c r="AA188" s="1"/>
  <c r="AF188" s="1"/>
  <c r="X188"/>
  <c r="W188"/>
  <c r="V188"/>
  <c r="Y194"/>
  <c r="AA194" s="1"/>
  <c r="AF194" s="1"/>
  <c r="X194"/>
  <c r="W194"/>
  <c r="V194"/>
  <c r="V197" s="1"/>
  <c r="Y22"/>
  <c r="AA22" s="1"/>
  <c r="AF22" s="1"/>
  <c r="X22"/>
  <c r="W22"/>
  <c r="V22"/>
  <c r="Y127"/>
  <c r="Y63"/>
  <c r="Y125"/>
  <c r="AA125" s="1"/>
  <c r="AF125" s="1"/>
  <c r="X125"/>
  <c r="W125"/>
  <c r="V125"/>
  <c r="AE48"/>
  <c r="AD48"/>
  <c r="AC48"/>
  <c r="Y46"/>
  <c r="X46"/>
  <c r="V190" l="1"/>
  <c r="AG194"/>
  <c r="AH194"/>
  <c r="V71"/>
  <c r="V143"/>
  <c r="AA63"/>
  <c r="AF63" s="1"/>
  <c r="AH128"/>
  <c r="AG128"/>
  <c r="AH31"/>
  <c r="AG31"/>
  <c r="Y205"/>
  <c r="AA165"/>
  <c r="AA166" s="1"/>
  <c r="Y166"/>
  <c r="AA139"/>
  <c r="Y143"/>
  <c r="W143"/>
  <c r="X143"/>
  <c r="Y53"/>
  <c r="Y48"/>
  <c r="Z146"/>
  <c r="AB146" s="1"/>
  <c r="Z165"/>
  <c r="Z166" s="1"/>
  <c r="Z68"/>
  <c r="AB68" s="1"/>
  <c r="Z67"/>
  <c r="AB67" s="1"/>
  <c r="Z140"/>
  <c r="AB140" s="1"/>
  <c r="Z139"/>
  <c r="Z31"/>
  <c r="AB31" s="1"/>
  <c r="AH140"/>
  <c r="AG140"/>
  <c r="Z75"/>
  <c r="AB75" s="1"/>
  <c r="AH67"/>
  <c r="AG67"/>
  <c r="Z128"/>
  <c r="AB128" s="1"/>
  <c r="AH68"/>
  <c r="AG68"/>
  <c r="AH146"/>
  <c r="AG146"/>
  <c r="AG147" s="1"/>
  <c r="Z104"/>
  <c r="AB104" s="1"/>
  <c r="AH104"/>
  <c r="AG104"/>
  <c r="Z189"/>
  <c r="AB189" s="1"/>
  <c r="AH189"/>
  <c r="AG189"/>
  <c r="Z188"/>
  <c r="AB188" s="1"/>
  <c r="AH188"/>
  <c r="AG188"/>
  <c r="Z194"/>
  <c r="AB194" s="1"/>
  <c r="X48"/>
  <c r="Z125"/>
  <c r="AB125" s="1"/>
  <c r="Z63"/>
  <c r="Z22"/>
  <c r="AB22" s="1"/>
  <c r="V43"/>
  <c r="AH22"/>
  <c r="AG22"/>
  <c r="V127"/>
  <c r="X127"/>
  <c r="W127"/>
  <c r="AA127"/>
  <c r="AF127" s="1"/>
  <c r="AH125"/>
  <c r="AG125"/>
  <c r="W46"/>
  <c r="AA46"/>
  <c r="V46"/>
  <c r="V48" s="1"/>
  <c r="AF165" l="1"/>
  <c r="AF166" s="1"/>
  <c r="AB63"/>
  <c r="AF205"/>
  <c r="AA205"/>
  <c r="Z205"/>
  <c r="AB165"/>
  <c r="AB166" s="1"/>
  <c r="AF139"/>
  <c r="AA143"/>
  <c r="AB139"/>
  <c r="AB143" s="1"/>
  <c r="Z143"/>
  <c r="AB53"/>
  <c r="Z53"/>
  <c r="AA53"/>
  <c r="AI68"/>
  <c r="AI31"/>
  <c r="AI140"/>
  <c r="AI75"/>
  <c r="AI67"/>
  <c r="AI128"/>
  <c r="AH147"/>
  <c r="AF147"/>
  <c r="AI146"/>
  <c r="AI104"/>
  <c r="AI189"/>
  <c r="AI188"/>
  <c r="AI194"/>
  <c r="AI125"/>
  <c r="W48"/>
  <c r="AI22"/>
  <c r="Z127"/>
  <c r="AB127" s="1"/>
  <c r="AH127"/>
  <c r="AG127"/>
  <c r="AF46"/>
  <c r="AF48" s="1"/>
  <c r="AA48"/>
  <c r="Z46"/>
  <c r="AH165" l="1"/>
  <c r="AH166" s="1"/>
  <c r="AG165"/>
  <c r="AG166" s="1"/>
  <c r="AI205"/>
  <c r="AB205"/>
  <c r="AF143"/>
  <c r="AH139"/>
  <c r="AH143" s="1"/>
  <c r="AG139"/>
  <c r="AF53"/>
  <c r="AG53"/>
  <c r="AH53"/>
  <c r="Z48"/>
  <c r="AI127"/>
  <c r="AH48"/>
  <c r="AB46"/>
  <c r="AB48" s="1"/>
  <c r="AG48"/>
  <c r="AI165" l="1"/>
  <c r="AI166" s="1"/>
  <c r="AG143"/>
  <c r="AI139"/>
  <c r="AI143" s="1"/>
  <c r="AI48"/>
  <c r="AE129" l="1"/>
  <c r="AD129"/>
  <c r="AC129"/>
  <c r="Y60" l="1"/>
  <c r="X60"/>
  <c r="W60"/>
  <c r="AA60" l="1"/>
  <c r="Z60"/>
  <c r="AB60" l="1"/>
  <c r="AF60"/>
  <c r="AH60" l="1"/>
  <c r="AG60"/>
  <c r="AI60" l="1"/>
  <c r="Y226"/>
  <c r="Y251"/>
  <c r="AA251" l="1"/>
  <c r="AF251" s="1"/>
  <c r="AG251" s="1"/>
  <c r="AA226"/>
  <c r="AF226" s="1"/>
  <c r="V226"/>
  <c r="X226"/>
  <c r="W226"/>
  <c r="V251"/>
  <c r="X251"/>
  <c r="W251"/>
  <c r="AG226" l="1"/>
  <c r="AH226"/>
  <c r="Z226"/>
  <c r="AB226" s="1"/>
  <c r="Z251"/>
  <c r="AB251" s="1"/>
  <c r="Y224" l="1"/>
  <c r="Y283"/>
  <c r="AA283" s="1"/>
  <c r="AF283" s="1"/>
  <c r="X283"/>
  <c r="W283"/>
  <c r="V283"/>
  <c r="Y35"/>
  <c r="X35"/>
  <c r="X37" s="1"/>
  <c r="AA35" l="1"/>
  <c r="Y37"/>
  <c r="W224"/>
  <c r="V224"/>
  <c r="X224"/>
  <c r="AA224"/>
  <c r="AF224" s="1"/>
  <c r="Z283"/>
  <c r="AB283" s="1"/>
  <c r="AH283"/>
  <c r="AG283"/>
  <c r="W35"/>
  <c r="V35"/>
  <c r="V37" s="1"/>
  <c r="Z35" l="1"/>
  <c r="W37"/>
  <c r="AF35"/>
  <c r="AA37"/>
  <c r="Z224"/>
  <c r="AB224" s="1"/>
  <c r="AH224"/>
  <c r="AG224"/>
  <c r="AI283"/>
  <c r="AG35" l="1"/>
  <c r="AG37" s="1"/>
  <c r="AF37"/>
  <c r="AH35"/>
  <c r="AH37" s="1"/>
  <c r="AB35"/>
  <c r="Z37"/>
  <c r="AI224"/>
  <c r="Y21"/>
  <c r="Y10"/>
  <c r="AB37" l="1"/>
  <c r="AI35"/>
  <c r="AI37" s="1"/>
  <c r="W21"/>
  <c r="V21"/>
  <c r="V24" s="1"/>
  <c r="X21"/>
  <c r="AA21"/>
  <c r="AF21" s="1"/>
  <c r="V10"/>
  <c r="X10"/>
  <c r="W10"/>
  <c r="AA10"/>
  <c r="AF10" s="1"/>
  <c r="Z21" l="1"/>
  <c r="AB21" s="1"/>
  <c r="Z10"/>
  <c r="AB10" s="1"/>
  <c r="AH21"/>
  <c r="AG21"/>
  <c r="AH10"/>
  <c r="AG10"/>
  <c r="AI10" l="1"/>
  <c r="AI21"/>
  <c r="Y246" l="1"/>
  <c r="Y237"/>
  <c r="Y235"/>
  <c r="Y239"/>
  <c r="X239"/>
  <c r="AA235" l="1"/>
  <c r="AF235" s="1"/>
  <c r="AA237"/>
  <c r="AF237" s="1"/>
  <c r="V246"/>
  <c r="X246"/>
  <c r="W246"/>
  <c r="AA246"/>
  <c r="AF246" s="1"/>
  <c r="V237"/>
  <c r="X237"/>
  <c r="W237"/>
  <c r="V235"/>
  <c r="X235"/>
  <c r="W235"/>
  <c r="W239"/>
  <c r="Z239" s="1"/>
  <c r="AA239"/>
  <c r="AF239" s="1"/>
  <c r="V239"/>
  <c r="W27"/>
  <c r="W17"/>
  <c r="W16"/>
  <c r="W15"/>
  <c r="V14"/>
  <c r="W13"/>
  <c r="W12"/>
  <c r="W11"/>
  <c r="Y281"/>
  <c r="AA281" s="1"/>
  <c r="AF281" s="1"/>
  <c r="X281"/>
  <c r="W281"/>
  <c r="V281"/>
  <c r="AE24"/>
  <c r="AD24"/>
  <c r="AC24"/>
  <c r="Y74"/>
  <c r="X74"/>
  <c r="X78" s="1"/>
  <c r="W74"/>
  <c r="W78" s="1"/>
  <c r="V74"/>
  <c r="V78" s="1"/>
  <c r="A20" i="4"/>
  <c r="E20"/>
  <c r="I20"/>
  <c r="T1" i="17"/>
  <c r="AJ1"/>
  <c r="V2"/>
  <c r="W2"/>
  <c r="AC2" s="1"/>
  <c r="X2"/>
  <c r="Y2"/>
  <c r="AA2" s="1"/>
  <c r="AF2"/>
  <c r="AG2" s="1"/>
  <c r="Y11"/>
  <c r="Y12"/>
  <c r="Y13"/>
  <c r="Y14"/>
  <c r="Y15"/>
  <c r="Y16"/>
  <c r="Y17"/>
  <c r="Y27"/>
  <c r="AC32"/>
  <c r="AD32"/>
  <c r="AE32"/>
  <c r="AC43"/>
  <c r="AD43"/>
  <c r="AE43"/>
  <c r="V64"/>
  <c r="W64"/>
  <c r="X64"/>
  <c r="W71"/>
  <c r="Y71"/>
  <c r="V88"/>
  <c r="W88"/>
  <c r="X88"/>
  <c r="Y88"/>
  <c r="V89"/>
  <c r="W89"/>
  <c r="X89"/>
  <c r="Y89"/>
  <c r="AA89" s="1"/>
  <c r="AF89" s="1"/>
  <c r="V90"/>
  <c r="W90"/>
  <c r="X90"/>
  <c r="Y90"/>
  <c r="AA90" s="1"/>
  <c r="AF90" s="1"/>
  <c r="V91"/>
  <c r="W91"/>
  <c r="X91"/>
  <c r="Y91"/>
  <c r="AA91" s="1"/>
  <c r="AF91" s="1"/>
  <c r="V100"/>
  <c r="V107" s="1"/>
  <c r="W100"/>
  <c r="W107" s="1"/>
  <c r="X100"/>
  <c r="X107" s="1"/>
  <c r="Y100"/>
  <c r="X117"/>
  <c r="AF117"/>
  <c r="W117"/>
  <c r="AC117"/>
  <c r="AD117"/>
  <c r="AE117"/>
  <c r="V120"/>
  <c r="V122" s="1"/>
  <c r="W120"/>
  <c r="W122" s="1"/>
  <c r="X120"/>
  <c r="X122" s="1"/>
  <c r="Y120"/>
  <c r="V126"/>
  <c r="V129" s="1"/>
  <c r="W126"/>
  <c r="X126"/>
  <c r="Y126"/>
  <c r="V133"/>
  <c r="V137" s="1"/>
  <c r="W133"/>
  <c r="W137" s="1"/>
  <c r="X133"/>
  <c r="X137" s="1"/>
  <c r="Y133"/>
  <c r="D143"/>
  <c r="V162"/>
  <c r="W162"/>
  <c r="X162"/>
  <c r="Y162"/>
  <c r="V175"/>
  <c r="V177" s="1"/>
  <c r="W175"/>
  <c r="W177" s="1"/>
  <c r="X175"/>
  <c r="X177" s="1"/>
  <c r="Y175"/>
  <c r="W190"/>
  <c r="AC190"/>
  <c r="AD190"/>
  <c r="AE190"/>
  <c r="AC197"/>
  <c r="AD197"/>
  <c r="AE197"/>
  <c r="V223"/>
  <c r="W223"/>
  <c r="X223"/>
  <c r="Y223"/>
  <c r="AA223" s="1"/>
  <c r="AF223" s="1"/>
  <c r="AG223" s="1"/>
  <c r="V225"/>
  <c r="W225"/>
  <c r="X225"/>
  <c r="Y225"/>
  <c r="AA225" s="1"/>
  <c r="AF225" s="1"/>
  <c r="AG225" s="1"/>
  <c r="V240"/>
  <c r="W240"/>
  <c r="X240"/>
  <c r="Y240"/>
  <c r="AA240" s="1"/>
  <c r="AF240" s="1"/>
  <c r="V231"/>
  <c r="W231"/>
  <c r="X231"/>
  <c r="Y231"/>
  <c r="AA231" s="1"/>
  <c r="AF231" s="1"/>
  <c r="AG231" s="1"/>
  <c r="V236"/>
  <c r="W236"/>
  <c r="X236"/>
  <c r="Y236"/>
  <c r="AA236" s="1"/>
  <c r="AF236" s="1"/>
  <c r="V241"/>
  <c r="W241"/>
  <c r="X241"/>
  <c r="Y241"/>
  <c r="AA241" s="1"/>
  <c r="AF241" s="1"/>
  <c r="AH241" s="1"/>
  <c r="V247"/>
  <c r="W247"/>
  <c r="X247"/>
  <c r="Y247"/>
  <c r="AA247" s="1"/>
  <c r="AF247" s="1"/>
  <c r="AG247" s="1"/>
  <c r="V248"/>
  <c r="W248"/>
  <c r="X248"/>
  <c r="Y248"/>
  <c r="AA248" s="1"/>
  <c r="AF248" s="1"/>
  <c r="AH248" s="1"/>
  <c r="V238"/>
  <c r="W238"/>
  <c r="X238"/>
  <c r="Y238"/>
  <c r="AA238" s="1"/>
  <c r="AF238" s="1"/>
  <c r="V249"/>
  <c r="W249"/>
  <c r="X249"/>
  <c r="Y249"/>
  <c r="AA249" s="1"/>
  <c r="AF249" s="1"/>
  <c r="V253"/>
  <c r="W253"/>
  <c r="X253"/>
  <c r="Y253"/>
  <c r="AA253" s="1"/>
  <c r="AF253" s="1"/>
  <c r="V234"/>
  <c r="W234"/>
  <c r="X234"/>
  <c r="Y234"/>
  <c r="AA234" s="1"/>
  <c r="AF234" s="1"/>
  <c r="AG234" s="1"/>
  <c r="AC254"/>
  <c r="AD254"/>
  <c r="AE254"/>
  <c r="V258"/>
  <c r="V261" s="1"/>
  <c r="W258"/>
  <c r="X258"/>
  <c r="Y258"/>
  <c r="AA258" s="1"/>
  <c r="AF258" s="1"/>
  <c r="AC261"/>
  <c r="AD261"/>
  <c r="AE261"/>
  <c r="V277"/>
  <c r="W277"/>
  <c r="X277"/>
  <c r="Y277"/>
  <c r="AA277" s="1"/>
  <c r="AF277" s="1"/>
  <c r="V280"/>
  <c r="W280"/>
  <c r="X280"/>
  <c r="Y280"/>
  <c r="AA280" s="1"/>
  <c r="AF280" s="1"/>
  <c r="V282"/>
  <c r="W282"/>
  <c r="X282"/>
  <c r="Y282"/>
  <c r="AA282" s="1"/>
  <c r="AF282" s="1"/>
  <c r="AG282" s="1"/>
  <c r="V284"/>
  <c r="W284"/>
  <c r="X284"/>
  <c r="Y284"/>
  <c r="AA284" s="1"/>
  <c r="V285"/>
  <c r="W285"/>
  <c r="X285"/>
  <c r="Y285"/>
  <c r="AA285" s="1"/>
  <c r="AF285" s="1"/>
  <c r="AH285" s="1"/>
  <c r="V286"/>
  <c r="W286"/>
  <c r="X286"/>
  <c r="Y286"/>
  <c r="AA286" s="1"/>
  <c r="AF286" s="1"/>
  <c r="AH286" s="1"/>
  <c r="V287"/>
  <c r="W287"/>
  <c r="X287"/>
  <c r="Y287"/>
  <c r="AA287" s="1"/>
  <c r="AF287" s="1"/>
  <c r="V288"/>
  <c r="W288"/>
  <c r="X288"/>
  <c r="Y288"/>
  <c r="AA288" s="1"/>
  <c r="AF288" s="1"/>
  <c r="V289"/>
  <c r="W289"/>
  <c r="X289"/>
  <c r="Y289"/>
  <c r="AA289" s="1"/>
  <c r="AF289" s="1"/>
  <c r="AG289" s="1"/>
  <c r="AC290"/>
  <c r="AD290"/>
  <c r="AE290"/>
  <c r="X71"/>
  <c r="AD264" l="1"/>
  <c r="AD208"/>
  <c r="V290"/>
  <c r="AC208"/>
  <c r="AE208"/>
  <c r="V97"/>
  <c r="V254"/>
  <c r="X13"/>
  <c r="Z13" s="1"/>
  <c r="V11"/>
  <c r="X12"/>
  <c r="Z12" s="1"/>
  <c r="AA120"/>
  <c r="Y122"/>
  <c r="AG90"/>
  <c r="AH90"/>
  <c r="AG89"/>
  <c r="AH89"/>
  <c r="AA64"/>
  <c r="Y64"/>
  <c r="V27"/>
  <c r="V32" s="1"/>
  <c r="X17"/>
  <c r="Z17" s="1"/>
  <c r="AG240"/>
  <c r="AH240"/>
  <c r="AG246"/>
  <c r="AH246"/>
  <c r="AA100"/>
  <c r="AA107" s="1"/>
  <c r="Y107"/>
  <c r="Y18"/>
  <c r="AA175"/>
  <c r="Y177"/>
  <c r="AA133"/>
  <c r="Y137"/>
  <c r="AA74"/>
  <c r="Y78"/>
  <c r="X97"/>
  <c r="AA88"/>
  <c r="Y97"/>
  <c r="W97"/>
  <c r="X15"/>
  <c r="Z15" s="1"/>
  <c r="X27"/>
  <c r="Z27" s="1"/>
  <c r="V17"/>
  <c r="V15"/>
  <c r="V13"/>
  <c r="X11"/>
  <c r="Z11" s="1"/>
  <c r="V16"/>
  <c r="AA14"/>
  <c r="AF14" s="1"/>
  <c r="AG14" s="1"/>
  <c r="X147"/>
  <c r="Z281"/>
  <c r="AB281" s="1"/>
  <c r="AA147"/>
  <c r="Y147"/>
  <c r="W147"/>
  <c r="Y32"/>
  <c r="X16"/>
  <c r="Z16" s="1"/>
  <c r="W14"/>
  <c r="W18" s="1"/>
  <c r="V12"/>
  <c r="Z2"/>
  <c r="AB2" s="1"/>
  <c r="Y190"/>
  <c r="Z231"/>
  <c r="AB231" s="1"/>
  <c r="Z240"/>
  <c r="AB240" s="1"/>
  <c r="X24"/>
  <c r="AA16"/>
  <c r="AF16" s="1"/>
  <c r="AH16" s="1"/>
  <c r="X14"/>
  <c r="AA12"/>
  <c r="AF12" s="1"/>
  <c r="AG12" s="1"/>
  <c r="X197"/>
  <c r="X129"/>
  <c r="AA126"/>
  <c r="Y129"/>
  <c r="W129"/>
  <c r="Z117"/>
  <c r="Y43"/>
  <c r="AA27"/>
  <c r="AF27" s="1"/>
  <c r="AG27" s="1"/>
  <c r="AA17"/>
  <c r="AF17" s="1"/>
  <c r="AG17" s="1"/>
  <c r="AA15"/>
  <c r="AF15" s="1"/>
  <c r="AG15" s="1"/>
  <c r="AA13"/>
  <c r="AF13" s="1"/>
  <c r="AH13" s="1"/>
  <c r="AA11"/>
  <c r="AF11" s="1"/>
  <c r="AH11" s="1"/>
  <c r="Z249"/>
  <c r="AB249" s="1"/>
  <c r="AG241"/>
  <c r="Y290"/>
  <c r="Z223"/>
  <c r="AB223" s="1"/>
  <c r="Z126"/>
  <c r="Z288"/>
  <c r="AB288" s="1"/>
  <c r="Z241"/>
  <c r="AB241" s="1"/>
  <c r="Z236"/>
  <c r="AB236" s="1"/>
  <c r="Z133"/>
  <c r="Z89"/>
  <c r="AB89" s="1"/>
  <c r="Z88"/>
  <c r="Y117"/>
  <c r="Y254"/>
  <c r="Z235"/>
  <c r="AB235" s="1"/>
  <c r="AA197"/>
  <c r="W197"/>
  <c r="Z162"/>
  <c r="Z237"/>
  <c r="AB237" s="1"/>
  <c r="Z246"/>
  <c r="AB246" s="1"/>
  <c r="AH237"/>
  <c r="AG237"/>
  <c r="AH235"/>
  <c r="AG235"/>
  <c r="Z282"/>
  <c r="AB282" s="1"/>
  <c r="X261"/>
  <c r="Z253"/>
  <c r="AB253" s="1"/>
  <c r="Z238"/>
  <c r="AB238" s="1"/>
  <c r="Z248"/>
  <c r="AB248" s="1"/>
  <c r="AB239"/>
  <c r="AH251"/>
  <c r="AI251" s="1"/>
  <c r="AH238"/>
  <c r="AG238"/>
  <c r="AG258"/>
  <c r="AH258"/>
  <c r="AG253"/>
  <c r="AH253"/>
  <c r="AG249"/>
  <c r="AH249"/>
  <c r="Z287"/>
  <c r="AB287" s="1"/>
  <c r="Z277"/>
  <c r="AB277" s="1"/>
  <c r="Z258"/>
  <c r="AB258" s="1"/>
  <c r="Y261"/>
  <c r="W261"/>
  <c r="AE264"/>
  <c r="AC264"/>
  <c r="Z234"/>
  <c r="AB234" s="1"/>
  <c r="AG236"/>
  <c r="AH236"/>
  <c r="AA261"/>
  <c r="Z289"/>
  <c r="AB289" s="1"/>
  <c r="Z286"/>
  <c r="AB286" s="1"/>
  <c r="AF284"/>
  <c r="AG284" s="1"/>
  <c r="AA290"/>
  <c r="AF190"/>
  <c r="AA190"/>
  <c r="AG281"/>
  <c r="AH281"/>
  <c r="Z285"/>
  <c r="AB285" s="1"/>
  <c r="Z284"/>
  <c r="AB284" s="1"/>
  <c r="Z175"/>
  <c r="Z100"/>
  <c r="Z91"/>
  <c r="AB91" s="1"/>
  <c r="Z90"/>
  <c r="AB90" s="1"/>
  <c r="W32"/>
  <c r="Z74"/>
  <c r="AG239"/>
  <c r="AH239"/>
  <c r="W254"/>
  <c r="X254"/>
  <c r="AA117"/>
  <c r="W43"/>
  <c r="AF43"/>
  <c r="AH288"/>
  <c r="AG288"/>
  <c r="AH287"/>
  <c r="AG287"/>
  <c r="X190"/>
  <c r="AA162"/>
  <c r="AH91"/>
  <c r="AG91"/>
  <c r="AH280"/>
  <c r="AG280"/>
  <c r="W290"/>
  <c r="Z280"/>
  <c r="AB280" s="1"/>
  <c r="AA254"/>
  <c r="Z120"/>
  <c r="Z122" s="1"/>
  <c r="U1"/>
  <c r="AH223"/>
  <c r="W24"/>
  <c r="Y197"/>
  <c r="AH282"/>
  <c r="AG286"/>
  <c r="AH289"/>
  <c r="Z71"/>
  <c r="Z225"/>
  <c r="AB225" s="1"/>
  <c r="X290"/>
  <c r="Z247"/>
  <c r="AB247" s="1"/>
  <c r="Y24"/>
  <c r="AF197"/>
  <c r="AH225"/>
  <c r="AH117"/>
  <c r="AG43"/>
  <c r="AH231"/>
  <c r="AH2"/>
  <c r="AG285"/>
  <c r="AG197"/>
  <c r="AH277"/>
  <c r="AG277"/>
  <c r="AH234"/>
  <c r="AG248"/>
  <c r="W208" l="1"/>
  <c r="V18"/>
  <c r="V208" s="1"/>
  <c r="Y208"/>
  <c r="AF64"/>
  <c r="AF100"/>
  <c r="AF107" s="1"/>
  <c r="AF120"/>
  <c r="AA122"/>
  <c r="Z64"/>
  <c r="AB100"/>
  <c r="AB107" s="1"/>
  <c r="Z107"/>
  <c r="AF18"/>
  <c r="AA18"/>
  <c r="X18"/>
  <c r="AB175"/>
  <c r="AB177" s="1"/>
  <c r="Z177"/>
  <c r="AF175"/>
  <c r="AA177"/>
  <c r="AB133"/>
  <c r="AB137" s="1"/>
  <c r="Z137"/>
  <c r="AF133"/>
  <c r="AA137"/>
  <c r="AB88"/>
  <c r="Z97"/>
  <c r="AF88"/>
  <c r="AA97"/>
  <c r="AF74"/>
  <c r="AA78"/>
  <c r="AB74"/>
  <c r="AB78" s="1"/>
  <c r="Z78"/>
  <c r="AH14"/>
  <c r="X32"/>
  <c r="AH17"/>
  <c r="AI223"/>
  <c r="AB117"/>
  <c r="AB13"/>
  <c r="AI241"/>
  <c r="AI289"/>
  <c r="AH12"/>
  <c r="AG13"/>
  <c r="AI2"/>
  <c r="AF261"/>
  <c r="AG16"/>
  <c r="AA43"/>
  <c r="AB17"/>
  <c r="AB12"/>
  <c r="Z197"/>
  <c r="V264"/>
  <c r="W264"/>
  <c r="Y264"/>
  <c r="AI236"/>
  <c r="AB126"/>
  <c r="AI248"/>
  <c r="AI231"/>
  <c r="AI247"/>
  <c r="AI286"/>
  <c r="Z14"/>
  <c r="AB14" s="1"/>
  <c r="Z147"/>
  <c r="AF71"/>
  <c r="AA71"/>
  <c r="AB16"/>
  <c r="AH27"/>
  <c r="AH284"/>
  <c r="AI284" s="1"/>
  <c r="AF32"/>
  <c r="AI240"/>
  <c r="AF126"/>
  <c r="AA129"/>
  <c r="Z129"/>
  <c r="AG11"/>
  <c r="AI89"/>
  <c r="AB15"/>
  <c r="AB27"/>
  <c r="AI90"/>
  <c r="AI282"/>
  <c r="AA32"/>
  <c r="AB11"/>
  <c r="AH15"/>
  <c r="AI285"/>
  <c r="Z24"/>
  <c r="AI238"/>
  <c r="AI288"/>
  <c r="AI249"/>
  <c r="AI253"/>
  <c r="AI258"/>
  <c r="AI281"/>
  <c r="AF290"/>
  <c r="AB197"/>
  <c r="X264"/>
  <c r="AI226"/>
  <c r="AI237"/>
  <c r="AI235"/>
  <c r="AI246"/>
  <c r="Z32"/>
  <c r="AI239"/>
  <c r="AH43"/>
  <c r="AB290"/>
  <c r="AH190"/>
  <c r="AA264"/>
  <c r="AH197"/>
  <c r="AI91"/>
  <c r="AI53"/>
  <c r="X43"/>
  <c r="AI287"/>
  <c r="AA24"/>
  <c r="AF162"/>
  <c r="Z261"/>
  <c r="AB71"/>
  <c r="AB120"/>
  <c r="AB122" s="1"/>
  <c r="Z190"/>
  <c r="AB190"/>
  <c r="Z254"/>
  <c r="AB254"/>
  <c r="Z290"/>
  <c r="AF254"/>
  <c r="AI280"/>
  <c r="AI225"/>
  <c r="AB162"/>
  <c r="AG117"/>
  <c r="AG290"/>
  <c r="AI277"/>
  <c r="AH254"/>
  <c r="AI234"/>
  <c r="AG254"/>
  <c r="AA208" l="1"/>
  <c r="X208"/>
  <c r="AH64"/>
  <c r="AH100"/>
  <c r="AH107" s="1"/>
  <c r="AG64"/>
  <c r="AG18"/>
  <c r="AG100"/>
  <c r="AG107" s="1"/>
  <c r="AF122"/>
  <c r="AH120"/>
  <c r="AH122" s="1"/>
  <c r="AG120"/>
  <c r="AG122" s="1"/>
  <c r="AF97"/>
  <c r="AG88"/>
  <c r="AG97" s="1"/>
  <c r="AH88"/>
  <c r="AH97" s="1"/>
  <c r="AH18"/>
  <c r="AI117"/>
  <c r="AB64"/>
  <c r="Z18"/>
  <c r="AI14"/>
  <c r="AI17"/>
  <c r="AB18"/>
  <c r="AF177"/>
  <c r="AH175"/>
  <c r="AH177" s="1"/>
  <c r="AG175"/>
  <c r="AH261"/>
  <c r="AH264" s="1"/>
  <c r="AI13"/>
  <c r="AF137"/>
  <c r="AG133"/>
  <c r="AH133"/>
  <c r="AH137" s="1"/>
  <c r="AG74"/>
  <c r="AH74"/>
  <c r="AH78" s="1"/>
  <c r="AF78"/>
  <c r="AB97"/>
  <c r="AI16"/>
  <c r="AI12"/>
  <c r="AB129"/>
  <c r="AF264"/>
  <c r="AG261"/>
  <c r="AG264" s="1"/>
  <c r="AH290"/>
  <c r="AI11"/>
  <c r="AG71"/>
  <c r="AH71"/>
  <c r="AI147"/>
  <c r="AB147"/>
  <c r="AH32"/>
  <c r="AI15"/>
  <c r="AF129"/>
  <c r="AG126"/>
  <c r="AH126"/>
  <c r="AH129" s="1"/>
  <c r="AB32"/>
  <c r="AI197"/>
  <c r="AI27"/>
  <c r="AG32"/>
  <c r="AI254"/>
  <c r="AI290"/>
  <c r="AG190"/>
  <c r="Z264"/>
  <c r="Z43"/>
  <c r="AG162"/>
  <c r="AH162"/>
  <c r="AG24"/>
  <c r="AH24"/>
  <c r="AF24"/>
  <c r="AB24"/>
  <c r="AB261"/>
  <c r="AB264" s="1"/>
  <c r="AF208" l="1"/>
  <c r="Z208"/>
  <c r="AH208"/>
  <c r="Z1"/>
  <c r="AF1"/>
  <c r="AI100"/>
  <c r="AI107" s="1"/>
  <c r="AI64"/>
  <c r="AI120"/>
  <c r="AI122" s="1"/>
  <c r="AI88"/>
  <c r="AI97" s="1"/>
  <c r="AI18"/>
  <c r="AI261"/>
  <c r="AI264" s="1"/>
  <c r="AG177"/>
  <c r="AI175"/>
  <c r="AI177" s="1"/>
  <c r="AG137"/>
  <c r="AI133"/>
  <c r="AI137" s="1"/>
  <c r="AG78"/>
  <c r="AI74"/>
  <c r="AI78" s="1"/>
  <c r="AI71"/>
  <c r="AG129"/>
  <c r="AI126"/>
  <c r="AI129" s="1"/>
  <c r="AI32"/>
  <c r="AI190"/>
  <c r="AB43"/>
  <c r="AB208" s="1"/>
  <c r="AI43"/>
  <c r="AI24"/>
  <c r="AI162"/>
  <c r="V1"/>
  <c r="W1"/>
  <c r="AD1"/>
  <c r="Y1"/>
  <c r="AE1"/>
  <c r="AA1"/>
  <c r="X1"/>
  <c r="AG208" l="1"/>
  <c r="AI208"/>
  <c r="AI1" s="1"/>
  <c r="AH1"/>
  <c r="AB1"/>
  <c r="AG1" l="1"/>
</calcChain>
</file>

<file path=xl/sharedStrings.xml><?xml version="1.0" encoding="utf-8"?>
<sst xmlns="http://schemas.openxmlformats.org/spreadsheetml/2006/main" count="909" uniqueCount="516">
  <si>
    <t>PARTIDA</t>
  </si>
  <si>
    <t>NOMBRE</t>
  </si>
  <si>
    <t>FECHA DE INGRESO</t>
  </si>
  <si>
    <t>CARGO</t>
  </si>
  <si>
    <t>DIAS CON INCAPACIDAD</t>
  </si>
  <si>
    <t>DIAS LABORADOS</t>
  </si>
  <si>
    <t>FONDO DE AHORRO</t>
  </si>
  <si>
    <t>APOYO EDUCACIONAL</t>
  </si>
  <si>
    <t>SUB TOTAL EXENTO</t>
  </si>
  <si>
    <t>SUB TOTAL GRAVADO</t>
  </si>
  <si>
    <t>SUB TOTAL A PAGAR</t>
  </si>
  <si>
    <t>PRESTAMOS</t>
  </si>
  <si>
    <t>I.S.R.</t>
  </si>
  <si>
    <t>SUBSIDIO AL EMPLEO</t>
  </si>
  <si>
    <t>TOTAL A PAGAR</t>
  </si>
  <si>
    <t>REGIDOR</t>
  </si>
  <si>
    <t>1</t>
  </si>
  <si>
    <t>SALA DE REGIDORES</t>
  </si>
  <si>
    <t>SOBRE</t>
  </si>
  <si>
    <t>SECRETARIA</t>
  </si>
  <si>
    <t>PRESIDENTE MUNICIPAL</t>
  </si>
  <si>
    <t>2</t>
  </si>
  <si>
    <t>PRESIDENCIA MUNICIPAL</t>
  </si>
  <si>
    <t>SINDICO MUNICIPAL</t>
  </si>
  <si>
    <t>5</t>
  </si>
  <si>
    <t>SECRETARIA GENERAL Y SINDICATURA</t>
  </si>
  <si>
    <t>OFICIAL MAYOR</t>
  </si>
  <si>
    <t>OFICIALIA MAYOR</t>
  </si>
  <si>
    <t>AUXILIAR ADMINISTRATIVO</t>
  </si>
  <si>
    <t>7</t>
  </si>
  <si>
    <t>DEPARTAMENTO JURIDICO</t>
  </si>
  <si>
    <t>JEFE OFICIAL DE REGISTRO CIVIL</t>
  </si>
  <si>
    <t>14</t>
  </si>
  <si>
    <t>REGISTRO CIVIL</t>
  </si>
  <si>
    <t>OFICIAL AUX. DE REGISTRO CIVIL</t>
  </si>
  <si>
    <t>OFICIALIA MAYOR DE CULTURA</t>
  </si>
  <si>
    <t>CRONISTA</t>
  </si>
  <si>
    <t>DIRECTOR</t>
  </si>
  <si>
    <t>PARTICIPACION CIUDADANA</t>
  </si>
  <si>
    <t>AUX. ADMINISTRATIVO</t>
  </si>
  <si>
    <t>GUTIERREZ REYES CAROL</t>
  </si>
  <si>
    <t>JEFE ADMINISTRADOR</t>
  </si>
  <si>
    <t>RELACIONES EXTERIORES</t>
  </si>
  <si>
    <t>FREGOSO HURTADO ALEJANDRA</t>
  </si>
  <si>
    <t>LOPEZ MARTINEZ YVETTE AMALIA MARGARITA</t>
  </si>
  <si>
    <t>MENSAJERO</t>
  </si>
  <si>
    <t>DELEGACIONES</t>
  </si>
  <si>
    <t>GUARDARRASTRO</t>
  </si>
  <si>
    <t>FONTANERO</t>
  </si>
  <si>
    <t>ENCARGADO DE CEMENTERIOS</t>
  </si>
  <si>
    <t>AGENTE MUNICIPAL STA. ROSALIA</t>
  </si>
  <si>
    <t>AGENCIAS</t>
  </si>
  <si>
    <t>AGENTE MUNICIPAL SAN RAFAEL</t>
  </si>
  <si>
    <t>AGENTE MUNICIPAL DE PUERTA DE PERICOS</t>
  </si>
  <si>
    <t>CHOFER RECOLECTOR</t>
  </si>
  <si>
    <t>3</t>
  </si>
  <si>
    <t>ENCARGADO DE HACIENDA PUBLICA</t>
  </si>
  <si>
    <t>HACIENDA MUNICIPAL</t>
  </si>
  <si>
    <t>MARTINEZ PAREDES ANNA VERONICA</t>
  </si>
  <si>
    <t>ULLOA MARTINEZ MARCELA GUADALUPE</t>
  </si>
  <si>
    <t>DEPTO. DE INGRESOS</t>
  </si>
  <si>
    <t>CABRALES GONZALEZ JOSE MANUEL</t>
  </si>
  <si>
    <t>RECAUDADOR DE PISO</t>
  </si>
  <si>
    <t>DEPTO. DE EGRESOS</t>
  </si>
  <si>
    <t>12</t>
  </si>
  <si>
    <t>DEPTO. DE INFORMATICA</t>
  </si>
  <si>
    <t>13</t>
  </si>
  <si>
    <t>DEPTO. DE IMPUESTO PREDIAL Y CATASTRO</t>
  </si>
  <si>
    <t>4</t>
  </si>
  <si>
    <t>DIRECTOR DE OBRAS PÚBLICAS</t>
  </si>
  <si>
    <t>DIRECCION GENERAL DE OBRAS PUBLICAS</t>
  </si>
  <si>
    <t>HERNANDEZ AGUIRRE JOSE MANUEL</t>
  </si>
  <si>
    <t>DEPTO. DE SERVICIOS PUBLICOS</t>
  </si>
  <si>
    <t>ALMACENISTA</t>
  </si>
  <si>
    <t>DEPTO. DE CONSTRUCCION</t>
  </si>
  <si>
    <t>DEPTO. DE CEMENTERIOS</t>
  </si>
  <si>
    <t>GUARDA RASTRO</t>
  </si>
  <si>
    <t>DEPTO. RASTRO</t>
  </si>
  <si>
    <t>DEPTO. MERCADOS</t>
  </si>
  <si>
    <t>HUERTA AGUILA BERNARDINO</t>
  </si>
  <si>
    <t>DEPTO. DE ASEO PUBLICO</t>
  </si>
  <si>
    <t>GRACIA GOMEZ JAVIER</t>
  </si>
  <si>
    <t>8</t>
  </si>
  <si>
    <t>DEPTO. DE PARQUES Y JARDINES</t>
  </si>
  <si>
    <t>9</t>
  </si>
  <si>
    <t>VERTEDERO</t>
  </si>
  <si>
    <t>10</t>
  </si>
  <si>
    <t>RUIZ HERNANDEZ CELESTINO</t>
  </si>
  <si>
    <t>JEFE DE ALUMBRADO PUBLICO</t>
  </si>
  <si>
    <t>DEPTO. DE ALUMBRADO PUBLICO</t>
  </si>
  <si>
    <t>11</t>
  </si>
  <si>
    <t>DEPTO. DE AGUA DRENAJE Y ALCANTARILLADO</t>
  </si>
  <si>
    <t>DIR. DE TURISMO Y DEPORTES</t>
  </si>
  <si>
    <t>15</t>
  </si>
  <si>
    <t>MARTINEZ VALDIVIA FRANCISCO</t>
  </si>
  <si>
    <t>MEDICO MUNICIPAL</t>
  </si>
  <si>
    <t>SERVICIO MEDICO</t>
  </si>
  <si>
    <t>26</t>
  </si>
  <si>
    <t>INSPECCION AGRICOLA Y GANADERA</t>
  </si>
  <si>
    <t>17</t>
  </si>
  <si>
    <t>SEGURIDAD PUBLICA</t>
  </si>
  <si>
    <t>POLICIA DE LINEA</t>
  </si>
  <si>
    <t>GIL RIVERA JOSE LUIS</t>
  </si>
  <si>
    <t>POLICIA EN LINEA</t>
  </si>
  <si>
    <t>GOMEZ CHAVEZ BENIGNO</t>
  </si>
  <si>
    <t>DE LA ROSA MACIAS PABLO</t>
  </si>
  <si>
    <t>18</t>
  </si>
  <si>
    <t>PROTECCION CIVIL</t>
  </si>
  <si>
    <t>CAPITULO</t>
  </si>
  <si>
    <t>CALCULO</t>
  </si>
  <si>
    <t>RFC</t>
  </si>
  <si>
    <t>CURP</t>
  </si>
  <si>
    <t>TARIFA MENSUAL ISR</t>
  </si>
  <si>
    <t>TARIFA QUINCENAL ISR</t>
  </si>
  <si>
    <t>TARIFA SEMANAL ISR</t>
  </si>
  <si>
    <t>Lim. Inferior</t>
  </si>
  <si>
    <t>Cuota Fija</t>
  </si>
  <si>
    <t>%</t>
  </si>
  <si>
    <t xml:space="preserve"> </t>
  </si>
  <si>
    <t>SUBSIDIO PARA EL EMPLEO</t>
  </si>
  <si>
    <t>Para</t>
  </si>
  <si>
    <t>SE</t>
  </si>
  <si>
    <t>Ingresos</t>
  </si>
  <si>
    <t>Mensual</t>
  </si>
  <si>
    <t>Quincenal</t>
  </si>
  <si>
    <t>Semanal</t>
  </si>
  <si>
    <t>DEPENDENCIA</t>
  </si>
  <si>
    <t>PAGO CON</t>
  </si>
  <si>
    <t>SUELDO POR DIA PROPUESTO</t>
  </si>
  <si>
    <t>ENCARGADO DE LA HACIENDA PUBLICA</t>
  </si>
  <si>
    <t>TIEMPO EXTRA</t>
  </si>
  <si>
    <t>CONCEC</t>
  </si>
  <si>
    <t>OTROS INGRESOS</t>
  </si>
  <si>
    <t>DEPARTAMENTO DE INGRESOS</t>
  </si>
  <si>
    <t>DEPARTAMENTO DE EGRESOS</t>
  </si>
  <si>
    <t>DEPARTAMENTO DE RASTRO</t>
  </si>
  <si>
    <t>DEPARTAMENTO DE CEMENTERIOS</t>
  </si>
  <si>
    <t>DEPARTAMENTO DE PARQUES Y JARDINES</t>
  </si>
  <si>
    <t>DEPARTAMENTO DE ALUMBRADO PUBLICO</t>
  </si>
  <si>
    <t>OTRAS DEDUCCIONES</t>
  </si>
  <si>
    <t>PENSIONADOS</t>
  </si>
  <si>
    <t>PENSIONADO</t>
  </si>
  <si>
    <t>MENDEZ FRANCO MIGUEL</t>
  </si>
  <si>
    <t>HERNANDEZ RAMIREZ SALVADOR</t>
  </si>
  <si>
    <t>HERNANDEZ SANTIAGO JOSE DE JESUS</t>
  </si>
  <si>
    <t>CAGM680912</t>
  </si>
  <si>
    <t>CAPB801105</t>
  </si>
  <si>
    <t>FEAA650918</t>
  </si>
  <si>
    <t>FEGC520708</t>
  </si>
  <si>
    <t>FEHA831218</t>
  </si>
  <si>
    <t>GIRL700926</t>
  </si>
  <si>
    <t>GOCB550313</t>
  </si>
  <si>
    <t>GOHV780710</t>
  </si>
  <si>
    <t>GAGJ731114</t>
  </si>
  <si>
    <t>GURC680410</t>
  </si>
  <si>
    <t>HEAM740507</t>
  </si>
  <si>
    <t>HEEG670312</t>
  </si>
  <si>
    <t>HEPJ581212</t>
  </si>
  <si>
    <t>HUAB811011</t>
  </si>
  <si>
    <t>HUCR450811</t>
  </si>
  <si>
    <t>LOMY681017</t>
  </si>
  <si>
    <t>MAPA820618</t>
  </si>
  <si>
    <t>MAVF520525</t>
  </si>
  <si>
    <t>PARC480708</t>
  </si>
  <si>
    <t>RUHC540519</t>
  </si>
  <si>
    <t>UOMM730612</t>
  </si>
  <si>
    <t xml:space="preserve">FONDO DE AHORRO </t>
  </si>
  <si>
    <t>CAGM680912HJCBNN06</t>
  </si>
  <si>
    <t>CAPB801105MJCMRR06</t>
  </si>
  <si>
    <t>DIAZ ROMERO J FELIX</t>
  </si>
  <si>
    <t>FREGOZO ALVARADO ALFONSO</t>
  </si>
  <si>
    <t>FEAA650818HJCRLL05</t>
  </si>
  <si>
    <t>FEGC520708HJCRMR08</t>
  </si>
  <si>
    <t>FEHA831218MJCRRL07</t>
  </si>
  <si>
    <t>GAGJ731114HJCRMV00</t>
  </si>
  <si>
    <t>GIRL700926HJCLVS01</t>
  </si>
  <si>
    <t>GOCB550313HJCMHN07</t>
  </si>
  <si>
    <t>GOHV780710HJCMRL00</t>
  </si>
  <si>
    <t>GURC680410MJCTYR00</t>
  </si>
  <si>
    <t>HEAM740507HJCRGN04</t>
  </si>
  <si>
    <t>HEER670312MJCRNS06</t>
  </si>
  <si>
    <t>HEPJ571212HJCRNN00</t>
  </si>
  <si>
    <t>HUAB810114HJCRGR01</t>
  </si>
  <si>
    <t>HUCR450831HJCRRM08</t>
  </si>
  <si>
    <t>LOMY681017MJCPRV08</t>
  </si>
  <si>
    <t>MAPA820618MJCRRN00</t>
  </si>
  <si>
    <t>MAVF520525HJCRLR02</t>
  </si>
  <si>
    <t>PARRA RON CARLOS ENRIQUE</t>
  </si>
  <si>
    <t>PARC480708HJCRNR08</t>
  </si>
  <si>
    <t>RUHC540519HJCZRL03</t>
  </si>
  <si>
    <t>UOMM730612MJCLRR02</t>
  </si>
  <si>
    <t>PEREZ JAIME ARTURO</t>
  </si>
  <si>
    <t>PEJA600718</t>
  </si>
  <si>
    <t>VELEZ FREGOSO LUIS MANUEL</t>
  </si>
  <si>
    <t>SUB-DIRECTOR DESARROLLO URBANO</t>
  </si>
  <si>
    <t>DIRECTOR JURIDICO</t>
  </si>
  <si>
    <t>GAHJ</t>
  </si>
  <si>
    <t>DIRECTOR DE PROTECCION CIVIL</t>
  </si>
  <si>
    <t>DIRECTOR DE CULTURA Y TURISMO</t>
  </si>
  <si>
    <t>CISNEROS VAZQUEZ RAMIRO</t>
  </si>
  <si>
    <t>CIVR540430</t>
  </si>
  <si>
    <t>RENTERIA MENDEZ FRANCISCO</t>
  </si>
  <si>
    <t>AUXILIAR DE DIRECCIÓN</t>
  </si>
  <si>
    <t>DIRF401210HJCZML05</t>
  </si>
  <si>
    <t>DIAZ PEREZ SAMUEL</t>
  </si>
  <si>
    <t>REYES HERNANDEZ MOISES</t>
  </si>
  <si>
    <t>CARRILLO MURILLO SALVADOR</t>
  </si>
  <si>
    <t>AUXILIAR CONTABLE</t>
  </si>
  <si>
    <t>CONTRALOR</t>
  </si>
  <si>
    <t>TARJETA</t>
  </si>
  <si>
    <t>VETERINARIO</t>
  </si>
  <si>
    <t>VENTURA PEREZ HERLINDA AURORA</t>
  </si>
  <si>
    <t>ESTRADA GOMEZ JUAN CARLOS</t>
  </si>
  <si>
    <t>SUB-DIRECTOR DE CATASTRO</t>
  </si>
  <si>
    <t>RUGE</t>
  </si>
  <si>
    <t>HERNANDEZ ARIAS SEBASTIAN</t>
  </si>
  <si>
    <t>HEAS</t>
  </si>
  <si>
    <t>BECERRA GONZALEZ MARISOL</t>
  </si>
  <si>
    <t xml:space="preserve">SUELDO BASE </t>
  </si>
  <si>
    <t>FIRMA DE RECIBIDO</t>
  </si>
  <si>
    <t>OFICIALIA MAYOR ADMINISTRATIVA</t>
  </si>
  <si>
    <t>DIRECCION DE REGISTRO CIVIL</t>
  </si>
  <si>
    <t>DEPARTAMENTO DE PROMOCION Y DESARROLLO ECONOMICO</t>
  </si>
  <si>
    <t>OFICINA DE ENLACE RELACIONES EXTERIORES</t>
  </si>
  <si>
    <t>AGENCIAS MUNICIPALES</t>
  </si>
  <si>
    <t>ADMIN ISTRACION DE LA HACIENDA MUNICIPAL</t>
  </si>
  <si>
    <t>DEPARTAMENTO DE COMPUTO E INFORMATICA</t>
  </si>
  <si>
    <t>DEPARTAMENTO DE IMPUESTO PREDIAL Y CATASTRO</t>
  </si>
  <si>
    <t>ADMINISTRACION DE LOS SERVICIOS PUBLICOS MUNICIPALES</t>
  </si>
  <si>
    <t>DEPARTAMENTO DE ASEO PUBLICO</t>
  </si>
  <si>
    <t>VERTEDERO MUNICIPAL</t>
  </si>
  <si>
    <t>DEPARTAMENTO DE DEPORTES</t>
  </si>
  <si>
    <t>SERVICIOS MEDICOS</t>
  </si>
  <si>
    <t>DEPARTAMENTO DE DESARROLLO RURAL</t>
  </si>
  <si>
    <t>CONTRALORIA</t>
  </si>
  <si>
    <t>DEPARTAMENTO DE PROTECCION CIVIL</t>
  </si>
  <si>
    <t>SANCHEZ SANCHEZ RAYMUNDO</t>
  </si>
  <si>
    <t>AGENTE MUNICIPAL SAN SEBASTIAN</t>
  </si>
  <si>
    <t>DIRECCION DE SEGURIDAD PUBLICA</t>
  </si>
  <si>
    <t>FLORES IÑIGUEZ JUAN RAYMUNDO</t>
  </si>
  <si>
    <t>MANCILLAS MORA MARTIN</t>
  </si>
  <si>
    <t>SUPERVISOR</t>
  </si>
  <si>
    <t>ARVIZU GIL HOMERO JOSE</t>
  </si>
  <si>
    <t>CAJERA</t>
  </si>
  <si>
    <t>DIAZ ORTIZ LUIS</t>
  </si>
  <si>
    <t>TELLEZ GOMEZ VICENTE</t>
  </si>
  <si>
    <t>AGUA POTABLE Y ALCANTRILLADO</t>
  </si>
  <si>
    <t>GARCIA MEDINA RAMON</t>
  </si>
  <si>
    <t>ENCARGADO GENERAL DE BOMBAS</t>
  </si>
  <si>
    <t>ENCARGADO  DE BOMBA AGUA ZARCA</t>
  </si>
  <si>
    <t>ENCARGADO  DE BOMBA EN SANTA ROSALIA</t>
  </si>
  <si>
    <t>BAILON SIERRA ENRIQUE</t>
  </si>
  <si>
    <t>ENCARGADO GENERAL DE ALCANTARILLADO</t>
  </si>
  <si>
    <t>DIRECCION GENERAL  DE OBRAS PUBLICAS</t>
  </si>
  <si>
    <t>COMANDANTE</t>
  </si>
  <si>
    <t>ARIAS RAMOS MARIA DEL SOCORRO</t>
  </si>
  <si>
    <t>VILLANE VALLARTA EFREN OSWALDO</t>
  </si>
  <si>
    <t>SIERRA LLAMAS JUAN JOSE</t>
  </si>
  <si>
    <t>PLASCENCIA GARCIA OSCARI</t>
  </si>
  <si>
    <t xml:space="preserve">AUXILIAR JURIDICO </t>
  </si>
  <si>
    <t>DIRECCION DE EDUCACION</t>
  </si>
  <si>
    <t>ARCINIEGA RODRIGUEZ ANTONIO</t>
  </si>
  <si>
    <t>ARQUIETA VADILLO ARTURO</t>
  </si>
  <si>
    <t>BUHM840914</t>
  </si>
  <si>
    <t>LEPC870628</t>
  </si>
  <si>
    <t>BASE740304</t>
  </si>
  <si>
    <t>BASE740304HJCLRN02</t>
  </si>
  <si>
    <t>GAMR560716</t>
  </si>
  <si>
    <t>GAMR560716HJCRDM02</t>
  </si>
  <si>
    <t>AIRS650514</t>
  </si>
  <si>
    <t>AIRS650514MJCRMC06</t>
  </si>
  <si>
    <t>PAGO721112</t>
  </si>
  <si>
    <t>PAGO721112HJCLRS01</t>
  </si>
  <si>
    <t>MENV711022</t>
  </si>
  <si>
    <t>MENV711022HJCNVC07</t>
  </si>
  <si>
    <t>LORL560923</t>
  </si>
  <si>
    <t>LORL560923HJCPYN00</t>
  </si>
  <si>
    <t>SILJ660418</t>
  </si>
  <si>
    <t>RIOA520619</t>
  </si>
  <si>
    <t>RIOA520619HJCVRD05</t>
  </si>
  <si>
    <t>REHM541231</t>
  </si>
  <si>
    <t>REHM641231HJCYRS02</t>
  </si>
  <si>
    <t>VAML800130</t>
  </si>
  <si>
    <t>AIGH730225LE1</t>
  </si>
  <si>
    <t>AIGH730225HJCRLM08</t>
  </si>
  <si>
    <t>ROMP450629DNA</t>
  </si>
  <si>
    <t>ROMP450629HJCSCB04</t>
  </si>
  <si>
    <t>PEXJ600718HJCRXM09</t>
  </si>
  <si>
    <t>VAML800130HJCRRS04</t>
  </si>
  <si>
    <t>PAGM780607</t>
  </si>
  <si>
    <t>PAGM780607MJCLRR03</t>
  </si>
  <si>
    <t>SILJ660418HJCRLN17</t>
  </si>
  <si>
    <t>LEGJ</t>
  </si>
  <si>
    <t>DIME</t>
  </si>
  <si>
    <t>HEBC</t>
  </si>
  <si>
    <t>AUVA551030FJ0</t>
  </si>
  <si>
    <t>AUVA551030HJCRDR15</t>
  </si>
  <si>
    <t>FOIJ8508313Z1</t>
  </si>
  <si>
    <t>FOIJ850831HJCLXN07</t>
  </si>
  <si>
    <t>REMF850816I26</t>
  </si>
  <si>
    <t>REMF850816HJCNNR00</t>
  </si>
  <si>
    <t>PARR</t>
  </si>
  <si>
    <t>CIVR540430HJCSZM04</t>
  </si>
  <si>
    <t>GOES781103IAA</t>
  </si>
  <si>
    <t>GOES781103MJCDNL05</t>
  </si>
  <si>
    <t>CESG4509243P3</t>
  </si>
  <si>
    <t>CESG450924HMNRNB03</t>
  </si>
  <si>
    <t>FEPM871023ND1</t>
  </si>
  <si>
    <t>FEPM871023MJCRRR07</t>
  </si>
  <si>
    <t>VEPH840722PR4</t>
  </si>
  <si>
    <t>VEPH840722MJCNRR04</t>
  </si>
  <si>
    <t>CARH770717</t>
  </si>
  <si>
    <t>CARH770717HJCRDG01</t>
  </si>
  <si>
    <t>EAGJ510220NR1</t>
  </si>
  <si>
    <t>EAGJ510220HJCSMN09</t>
  </si>
  <si>
    <t>GORA710130M39</t>
  </si>
  <si>
    <t>GORA710130HJCNZN08</t>
  </si>
  <si>
    <t>PALR</t>
  </si>
  <si>
    <t>LOVJ470602UN7</t>
  </si>
  <si>
    <t>LOVJ470602HJCPLS07</t>
  </si>
  <si>
    <t>CAMS620429F91</t>
  </si>
  <si>
    <t>CAMS620429HNTRRL00</t>
  </si>
  <si>
    <t>DENL910517</t>
  </si>
  <si>
    <t>DENL910517HJCLVS07</t>
  </si>
  <si>
    <t>MAMM741224</t>
  </si>
  <si>
    <t>MAMM741224HCJNRR00</t>
  </si>
  <si>
    <t>VIVE</t>
  </si>
  <si>
    <t>REAJ700624U14</t>
  </si>
  <si>
    <t>REAJ700624HJCGQN05</t>
  </si>
  <si>
    <t>GUJJ351120F83</t>
  </si>
  <si>
    <t>GUJJ351120HJCVR 03</t>
  </si>
  <si>
    <t>HERS421229UE7</t>
  </si>
  <si>
    <t>HERS421229HJCRML04</t>
  </si>
  <si>
    <t>HESJ410605JD8</t>
  </si>
  <si>
    <t>HESJ410605HJCRNS07</t>
  </si>
  <si>
    <t>MEFM351006CE0</t>
  </si>
  <si>
    <t>MEFM351006HJCNRG07</t>
  </si>
  <si>
    <t>MERL260819Q10</t>
  </si>
  <si>
    <t>MERL260819HJCZGS06</t>
  </si>
  <si>
    <t>SASR4910255R8</t>
  </si>
  <si>
    <t>SASR491025HJCNNY01</t>
  </si>
  <si>
    <t>DEPARTAMENTO DE  INFORMATICA</t>
  </si>
  <si>
    <t>IAOR</t>
  </si>
  <si>
    <t>ENCARGADO DE MANTENIMIENTO A VEHICULOS</t>
  </si>
  <si>
    <t>PINTOR GENERAL</t>
  </si>
  <si>
    <t>ADMINISTRADOR DE CEMENTERIOS</t>
  </si>
  <si>
    <t>RECOLECTOR ASEO PUBLICO</t>
  </si>
  <si>
    <t>ENCARGADO DE DESARROLLO RURAL</t>
  </si>
  <si>
    <t>DIRECTOR DE SEGURIDAD PUBLICA MUNICIPAL</t>
  </si>
  <si>
    <t xml:space="preserve">GARCIA FIGUEROA GUSTAVO </t>
  </si>
  <si>
    <t>LOPEZ VILLEGAS J. JESUS</t>
  </si>
  <si>
    <t>ENCARGADO DE  EQUIPO DE SONIDO</t>
  </si>
  <si>
    <t>ESQUIVEL CLARO EULALIA</t>
  </si>
  <si>
    <t>GUIZAR CARRILLO FRANCISCO JAVIER</t>
  </si>
  <si>
    <t xml:space="preserve">REYNAGA LOPEZ NAHSDHELLY ALEJANDRA </t>
  </si>
  <si>
    <t>OCHOA FLORES MARIA DE JESUS</t>
  </si>
  <si>
    <t>SANCHEZ GARCIA VICTOR MANUEL</t>
  </si>
  <si>
    <t>GARCIA FRANCISCO</t>
  </si>
  <si>
    <t>H. AYUNTAMIENTO DE ETZATLAN, JALISCO</t>
  </si>
  <si>
    <t>En adelante</t>
  </si>
  <si>
    <t>TRINIDAD RAMIREZ JOSE ROMAN</t>
  </si>
  <si>
    <t>GAYTAN PEREZ LUIS GABRIEL</t>
  </si>
  <si>
    <t>GONZALEZ CAMPOS JOSE MANUEL</t>
  </si>
  <si>
    <t>CAMPERO MARTINEZ JUAN DANIEL</t>
  </si>
  <si>
    <t>LOPEZ SILVA CARLOS DAMIAN</t>
  </si>
  <si>
    <t>GARCIA MAGALLANES FRANCISCO</t>
  </si>
  <si>
    <t>GUTIERREZ GARCIA GERARDO</t>
  </si>
  <si>
    <t>MAM620222</t>
  </si>
  <si>
    <t>ROBLEDO ORTIZ EDGAR ANTONIO</t>
  </si>
  <si>
    <t xml:space="preserve">PRESIDENTE MUNICIPAL  </t>
  </si>
  <si>
    <t>GOMEZ ALVARADO MA MAGDALENA</t>
  </si>
  <si>
    <t>BARAJAS DE LA TORRE ABIGAIL</t>
  </si>
  <si>
    <t>MELCHOR NAVARRO OBED</t>
  </si>
  <si>
    <t>GOMEZ RICO LUZ ELENA</t>
  </si>
  <si>
    <t>SIERRA ROMERO DOLORES EDITH</t>
  </si>
  <si>
    <t>RON RAMOS EDUARDO</t>
  </si>
  <si>
    <t>SECRETARIO PARTICULAR</t>
  </si>
  <si>
    <t>CAMARENA GONZALEZ RUBIO MARIO</t>
  </si>
  <si>
    <t>FREGOSO BARBOZA MARTIN DANIEL</t>
  </si>
  <si>
    <t>UNIDAD DE TRANSPARENCIA</t>
  </si>
  <si>
    <t>ALDAZ VELEZ LORENZO MIGUEL</t>
  </si>
  <si>
    <t>ROBLES VENEGAS OSCAR HUMBERTO</t>
  </si>
  <si>
    <t>GARCIA LOPEZ MARIA ESMERALDA</t>
  </si>
  <si>
    <t>ACOSTA GONZALEZ MIGUEL</t>
  </si>
  <si>
    <t>ENCARGADO DE LA UNIDAD DEPORTIVA</t>
  </si>
  <si>
    <t>BAROCIO FIGUEROA ANTONIO</t>
  </si>
  <si>
    <t>CARRILLO MUÑOZ CESAR OMAR</t>
  </si>
  <si>
    <t>ILLAN RUIZ FERNANDO</t>
  </si>
  <si>
    <t>MATA COVARRUBIAS ALAN MARCOS</t>
  </si>
  <si>
    <t>RODRIGUEZ ARQUIETA FAUSTO RAFAEL</t>
  </si>
  <si>
    <t>MARISCAL MORALES JESUS RICARDO</t>
  </si>
  <si>
    <t>DIRECTOR DE SERVICIOS ´PÚBLICOS  MUNICIPALES</t>
  </si>
  <si>
    <t>PARRA AGUAYO JORGE</t>
  </si>
  <si>
    <t>NAVARRO HERNANDEZ ALMA SAGRARIO</t>
  </si>
  <si>
    <t>ILLAN ARIAS CESAR</t>
  </si>
  <si>
    <t>RODRIGUEZ CASTELLANOS ANGELICA IVETTE</t>
  </si>
  <si>
    <t>MONTES COLIMA DIANA ROCIO</t>
  </si>
  <si>
    <t>AUXILIAR DE DESARROLLO RURAL</t>
  </si>
  <si>
    <t>GONZALEZ BERNAL ENRIQUE MARTIN</t>
  </si>
  <si>
    <t>CASTELLANOS LOPEZ FRANCISCO JAVIER</t>
  </si>
  <si>
    <t>ENCARGADO DEL DEPTO DE ADQUISICIONES</t>
  </si>
  <si>
    <t>ARQUIETA GONZALEZ IRENE MAGALI</t>
  </si>
  <si>
    <t>GOMEZ ESQUIVEL JULIO ISRAEL</t>
  </si>
  <si>
    <t>SECRETARIA DE SECRETARIA GENERAL</t>
  </si>
  <si>
    <t>GUTIERREZ SIORDIA LORENA</t>
  </si>
  <si>
    <t>GOMEZ HERNANDEZ FRANCISCO JAVIER</t>
  </si>
  <si>
    <t>ARVIZU BACILIO ALONSO CANUTO</t>
  </si>
  <si>
    <t>BERNAL LOPEZ JUAN MANUEL</t>
  </si>
  <si>
    <t>GONZALEZ RUIZ JOSE ANGEL</t>
  </si>
  <si>
    <t>VALENZUELA PARRA PERLA PATRICIA</t>
  </si>
  <si>
    <t>SECRETARIA DE DIRECTOR DE EDUCACION</t>
  </si>
  <si>
    <t>NAVARRO HERNANDEZ SOSTENES</t>
  </si>
  <si>
    <t>SUPERVISOR DE ASEO PUBLICO</t>
  </si>
  <si>
    <t>NAVARRO HUERTA ISIDRO</t>
  </si>
  <si>
    <t>SUPERVISOR DE PARQUES Y JARDINES</t>
  </si>
  <si>
    <t>CAPTURISTA EN TESORERIA</t>
  </si>
  <si>
    <t>MADRID ZAINES DELIA CAROLINA</t>
  </si>
  <si>
    <t>SECRETARIA EN CATASTRO</t>
  </si>
  <si>
    <t>AUXILIAR DE TRANSPARENCIA</t>
  </si>
  <si>
    <t>DIRECTOR DE TRANSPARENCIA</t>
  </si>
  <si>
    <t>MARISCAL MORALES ILIANA PATRICIA</t>
  </si>
  <si>
    <t>SUBDIRECTORA DE TALLERES DE CAPACITACION</t>
  </si>
  <si>
    <t>CERVANTES VELAZCO ISAIAS</t>
  </si>
  <si>
    <t>DIRECTOR DE PROMOCION ECONOMICA</t>
  </si>
  <si>
    <t>SUB DIRECTOR DE OBRAS PÚBLICAS</t>
  </si>
  <si>
    <t>GUTIERREZ MARTINEZ JORGE</t>
  </si>
  <si>
    <t>CARDENAS GUEVARA JORGE RAFAEL</t>
  </si>
  <si>
    <t>DAVALOS SALCEDO MIGUEL CARLOS</t>
  </si>
  <si>
    <t>L.A.F. EDUARDO RON RAMOS</t>
  </si>
  <si>
    <t>L.C.P. MARTIN DANIEL FREGOSO BARBOZA</t>
  </si>
  <si>
    <t>ING. MARIO CAMARENA GONZALEZ RUBIO</t>
  </si>
  <si>
    <t>FREGOSO BARBOZA CARLOS RAFAEL</t>
  </si>
  <si>
    <t>JUEZ MUNICIPAL</t>
  </si>
  <si>
    <t>BERNAL ESTRADA EDGAR FERNANDO</t>
  </si>
  <si>
    <t>TORRES MORAN CARLOS</t>
  </si>
  <si>
    <t>HERNANDEZ PALACIOS REFUGIO GUADALUPE</t>
  </si>
  <si>
    <t>RODRIGUEZ OLMEDO JOSE RAFAEL</t>
  </si>
  <si>
    <t>CASTAÑEDA ARANDAS EFREN</t>
  </si>
  <si>
    <t>SALAS CARRANZA FRANCISCO CARLOS</t>
  </si>
  <si>
    <t>GARCIA FIGUEROA JOSE MANUEL</t>
  </si>
  <si>
    <t>RAMIREZ ALVAREZ ANAHI</t>
  </si>
  <si>
    <t>LEAL FRANCISCO JAVIER</t>
  </si>
  <si>
    <t>PEDIATRA</t>
  </si>
  <si>
    <t>OPERADOR DE MAQUINARIA</t>
  </si>
  <si>
    <t>ROBLES GONZALEZ CLAUDIA SUSANA</t>
  </si>
  <si>
    <t>PONCE FRANCO JOSE SALVADOR</t>
  </si>
  <si>
    <t>GONZALEZ JUAREZ ALEJANDRA AMANDA</t>
  </si>
  <si>
    <t>SECRETARIA DE CASA DE LA CULTURA</t>
  </si>
  <si>
    <t>ENCARGADO DEL AGUA POTABLE</t>
  </si>
  <si>
    <t>NAVARRO AYON RAUL JAIME</t>
  </si>
  <si>
    <t>AGENTE MUNICIPAL DE LA MAZATA</t>
  </si>
  <si>
    <t>ACEVEDO OCHOA J. GUADALUPE</t>
  </si>
  <si>
    <t>BERNAL RUIZ LAURO</t>
  </si>
  <si>
    <t>NOTIFICADOR</t>
  </si>
  <si>
    <t>ENCARGADO DE ALUMBRADO PUBLICO</t>
  </si>
  <si>
    <t>LARES RODRIGUEZ JOSE ANGEL</t>
  </si>
  <si>
    <t>PEREZ LLAMAS SAMUEL</t>
  </si>
  <si>
    <t>AGENTE MUNICIPAL DE LA QUEBRADA</t>
  </si>
  <si>
    <t>DIRF401208</t>
  </si>
  <si>
    <t xml:space="preserve">FREGOSO MEDRANO CARLOS ALEJANDRO </t>
  </si>
  <si>
    <t>DELEGADO MUNICIPAL DE  OCONAHUA</t>
  </si>
  <si>
    <t>DE LATORRE GARCIA MIGUEL RAFAEL</t>
  </si>
  <si>
    <t>COVARRUBIAS VALENCIA JOSE</t>
  </si>
  <si>
    <t>BRAMBILA MELCHOR ADRIAN</t>
  </si>
  <si>
    <t>ENCARGADO DE OBRAS ´PUBLICAS EN OCONAHUA</t>
  </si>
  <si>
    <t>GAVILANES NAVARRO JOSE RICARDO</t>
  </si>
  <si>
    <t>CHIOFER CAMION ESTUDIANTES</t>
  </si>
  <si>
    <t>CABRALES MEZA CECILIO</t>
  </si>
  <si>
    <t>VIGILANTE EN EL DOMO</t>
  </si>
  <si>
    <t>INSTITUTO DE LA MUJER</t>
  </si>
  <si>
    <t>MEDINA FLORES MIRIAM CONCEPCION</t>
  </si>
  <si>
    <t>ENCARGADA</t>
  </si>
  <si>
    <t>PARAMEDICO PROTECCIONJ CIVIL</t>
  </si>
  <si>
    <t>LOPEZ GOMEZ GABRIEL ALEJANDRO</t>
  </si>
  <si>
    <t>MARTINEZ GARCIA JOSE ENRIQUE</t>
  </si>
  <si>
    <t>GARCIA GARCIA ROGELIO</t>
  </si>
  <si>
    <t>AGUIRRE REYES RAUL ANTONIO</t>
  </si>
  <si>
    <t>AGENTE MUNICIPAL DE LA EMBOCADA</t>
  </si>
  <si>
    <t>MURILLO HERNANDEZ MARIANO</t>
  </si>
  <si>
    <t>DEPARTAMENTO DE COMUNICACIÓN SOCIAL</t>
  </si>
  <si>
    <t>DIRECTOR DE TALLERES DE CAPACITACION</t>
  </si>
  <si>
    <t>AUXILIAR ADMINISTRATIVO DE PROMOCION ECONOMICA</t>
  </si>
  <si>
    <t>DIRECTOR DE IDE SISTEMAS</t>
  </si>
  <si>
    <t>DIRECTOR DE IDE INFORMATICA</t>
  </si>
  <si>
    <t>SUB DIRECTOR</t>
  </si>
  <si>
    <t>MEDICO</t>
  </si>
  <si>
    <t>OFICIAL DE PREVENCION SOCIAL</t>
  </si>
  <si>
    <t>REYES MONTERO HECTOR CARLOS</t>
  </si>
  <si>
    <t>MARQUEZ CERVANTES ALBERTO</t>
  </si>
  <si>
    <t>CORONA MARTINEZ JOSE MARIANO</t>
  </si>
  <si>
    <t xml:space="preserve">SECRETARIO GENERAL </t>
  </si>
  <si>
    <t>ENFERMEROA CENTRO DE SALUD SANTA ROSALIA</t>
  </si>
  <si>
    <t>MEDINA FLORES EVERARDO</t>
  </si>
  <si>
    <t>GALLEGOS PEREZ JOSE FRANCISCO</t>
  </si>
  <si>
    <t>IBARRA FLORES MILAGROS SARAHI</t>
  </si>
  <si>
    <t>SECRETARIA EN SINDICATURA</t>
  </si>
  <si>
    <t>NAVARRO SEGURA KAREN LIZBETH</t>
  </si>
  <si>
    <t>SECRETARIA DE JUEZ MUNICIPAL</t>
  </si>
  <si>
    <t>FIGUEROA GARCIA JOSE DE JESUS</t>
  </si>
  <si>
    <t>HERNANDEZ BAILON VICENTE</t>
  </si>
  <si>
    <t>AUXILIAR DE   CONTRALORIA</t>
  </si>
  <si>
    <t>BARAJAS REYES VICTORINO</t>
  </si>
  <si>
    <t>HERNANDEZ PALACIOS ANGEL FERNANDO</t>
  </si>
  <si>
    <t>ADMINISTRACION 2015-2017</t>
  </si>
  <si>
    <t>ALVAREZ SANDOVAL RUBEN</t>
  </si>
  <si>
    <t>GARCIA MONTES SAUL MARGARITO</t>
  </si>
  <si>
    <t>CASTRO DOMINGUEZ ZAIRA EVANGELINA</t>
  </si>
  <si>
    <t>ORTEGA CRUZ ERIKA NARCEDALIA</t>
  </si>
  <si>
    <t>ESQUIVEL REYES VICTORIA GUADALUPE</t>
  </si>
  <si>
    <t>AGUIRRE MERCADO JOVANNY MISSAEL</t>
  </si>
  <si>
    <t>RENDON SEGUNDO DELFINO</t>
  </si>
  <si>
    <t>ROSAS FLORES ALVARO</t>
  </si>
  <si>
    <t>FIGUEROA SANTIAGO JOSE ALBERTO</t>
  </si>
  <si>
    <t>HERNANDEZ ESPERICUETA EFRAIN</t>
  </si>
  <si>
    <t>NOMINA CORRESPONDIENTE A LA 1A QUINCENA DE SEPTIEMBRE DE 2016</t>
  </si>
  <si>
    <t>Etzatlán, Jalisco a 15 de Septiembre de 2016.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</si>
</sst>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\ &quot;pta&quot;_);_(* \(#,##0\ &quot;pta&quot;\);_(* &quot;-&quot;??\ &quot;pta&quot;_);_(@_)"/>
    <numFmt numFmtId="165" formatCode="_-[$€-2]* #,##0.00_-;\-[$€-2]* #,##0.00_-;_-[$€-2]* &quot;-&quot;??_-"/>
  </numFmts>
  <fonts count="4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9"/>
      <color rgb="FF000000"/>
      <name val="Arial"/>
      <family val="2"/>
    </font>
    <font>
      <b/>
      <sz val="11"/>
      <color rgb="FF333399"/>
      <name val="Arial Rounded MT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5" fontId="1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37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24" borderId="10" xfId="0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43" fontId="1" fillId="0" borderId="10" xfId="34" applyBorder="1" applyProtection="1">
      <protection hidden="1"/>
    </xf>
    <xf numFmtId="43" fontId="1" fillId="0" borderId="0" xfId="34" applyBorder="1" applyProtection="1">
      <protection hidden="1"/>
    </xf>
    <xf numFmtId="10" fontId="1" fillId="0" borderId="11" xfId="40" applyNumberFormat="1" applyBorder="1" applyProtection="1">
      <protection hidden="1"/>
    </xf>
    <xf numFmtId="0" fontId="0" fillId="0" borderId="0" xfId="0" applyProtection="1">
      <protection hidden="1"/>
    </xf>
    <xf numFmtId="43" fontId="1" fillId="0" borderId="12" xfId="34" applyBorder="1" applyProtection="1">
      <protection hidden="1"/>
    </xf>
    <xf numFmtId="43" fontId="1" fillId="0" borderId="13" xfId="34" applyBorder="1" applyProtection="1">
      <protection hidden="1"/>
    </xf>
    <xf numFmtId="10" fontId="1" fillId="0" borderId="14" xfId="40" applyNumberFormat="1" applyBorder="1" applyProtection="1">
      <protection hidden="1"/>
    </xf>
    <xf numFmtId="43" fontId="1" fillId="0" borderId="0" xfId="34" applyProtection="1"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43" fontId="1" fillId="0" borderId="11" xfId="34" applyBorder="1" applyProtection="1">
      <protection hidden="1"/>
    </xf>
    <xf numFmtId="43" fontId="1" fillId="0" borderId="14" xfId="34" applyBorder="1" applyProtection="1">
      <protection hidden="1"/>
    </xf>
    <xf numFmtId="0" fontId="11" fillId="0" borderId="0" xfId="37" applyFont="1" applyFill="1" applyBorder="1" applyAlignment="1">
      <alignment horizontal="left" vertical="center"/>
    </xf>
    <xf numFmtId="0" fontId="11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37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hidden="1"/>
    </xf>
    <xf numFmtId="43" fontId="0" fillId="0" borderId="0" xfId="33" applyFont="1" applyProtection="1">
      <protection hidden="1"/>
    </xf>
    <xf numFmtId="43" fontId="1" fillId="0" borderId="0" xfId="33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4" fontId="14" fillId="0" borderId="0" xfId="0" applyNumberFormat="1" applyFont="1" applyFill="1" applyAlignment="1" applyProtection="1">
      <alignment horizontal="center"/>
      <protection hidden="1"/>
    </xf>
    <xf numFmtId="43" fontId="11" fillId="0" borderId="0" xfId="33" applyFont="1" applyProtection="1">
      <protection hidden="1"/>
    </xf>
    <xf numFmtId="43" fontId="11" fillId="0" borderId="0" xfId="33" applyNumberFormat="1" applyFont="1" applyProtection="1">
      <protection hidden="1"/>
    </xf>
    <xf numFmtId="0" fontId="11" fillId="0" borderId="0" xfId="0" applyFo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Font="1" applyFill="1" applyAlignment="1" applyProtection="1">
      <alignment horizontal="center"/>
      <protection locked="0" hidden="1"/>
    </xf>
    <xf numFmtId="0" fontId="11" fillId="0" borderId="0" xfId="0" applyFont="1" applyFill="1" applyProtection="1">
      <protection locked="0" hidden="1"/>
    </xf>
    <xf numFmtId="43" fontId="11" fillId="0" borderId="0" xfId="33" applyFont="1" applyFill="1" applyProtection="1">
      <protection locked="0" hidden="1"/>
    </xf>
    <xf numFmtId="43" fontId="0" fillId="0" borderId="0" xfId="33" applyFont="1" applyFill="1" applyProtection="1">
      <protection hidden="1"/>
    </xf>
    <xf numFmtId="0" fontId="34" fillId="0" borderId="0" xfId="0" applyFont="1" applyProtection="1">
      <protection hidden="1"/>
    </xf>
    <xf numFmtId="43" fontId="3" fillId="0" borderId="0" xfId="33" applyFont="1" applyProtection="1">
      <protection hidden="1"/>
    </xf>
    <xf numFmtId="0" fontId="4" fillId="25" borderId="19" xfId="0" applyFont="1" applyFill="1" applyBorder="1" applyAlignment="1" applyProtection="1">
      <alignment horizontal="center" vertical="center" wrapText="1"/>
      <protection hidden="1"/>
    </xf>
    <xf numFmtId="0" fontId="1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14" fontId="14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Protection="1">
      <protection hidden="1"/>
    </xf>
    <xf numFmtId="0" fontId="9" fillId="0" borderId="20" xfId="37" applyNumberFormat="1" applyFont="1" applyFill="1" applyBorder="1" applyAlignment="1">
      <alignment horizontal="left" vertical="center" wrapText="1"/>
    </xf>
    <xf numFmtId="0" fontId="6" fillId="0" borderId="20" xfId="37" applyNumberFormat="1" applyFont="1" applyFill="1" applyBorder="1" applyAlignment="1">
      <alignment horizontal="center" vertical="center" wrapText="1"/>
    </xf>
    <xf numFmtId="0" fontId="6" fillId="0" borderId="19" xfId="37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Protection="1">
      <protection locked="0" hidden="1"/>
    </xf>
    <xf numFmtId="43" fontId="11" fillId="0" borderId="19" xfId="33" applyFont="1" applyFill="1" applyBorder="1" applyProtection="1">
      <protection locked="0" hidden="1"/>
    </xf>
    <xf numFmtId="0" fontId="34" fillId="0" borderId="20" xfId="37" applyNumberFormat="1" applyFont="1" applyFill="1" applyBorder="1" applyAlignment="1">
      <alignment horizontal="center" vertical="center" wrapText="1"/>
    </xf>
    <xf numFmtId="0" fontId="9" fillId="0" borderId="19" xfId="37" applyNumberFormat="1" applyFont="1" applyFill="1" applyBorder="1" applyAlignment="1">
      <alignment horizontal="left" vertical="center" wrapText="1"/>
    </xf>
    <xf numFmtId="0" fontId="34" fillId="0" borderId="19" xfId="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3" fontId="1" fillId="0" borderId="19" xfId="33" applyFont="1" applyFill="1" applyBorder="1" applyAlignment="1" applyProtection="1">
      <alignment horizontal="center"/>
      <protection hidden="1"/>
    </xf>
    <xf numFmtId="43" fontId="11" fillId="0" borderId="19" xfId="33" applyFont="1" applyFill="1" applyBorder="1" applyProtection="1">
      <protection hidden="1"/>
    </xf>
    <xf numFmtId="43" fontId="11" fillId="0" borderId="19" xfId="33" applyNumberFormat="1" applyFont="1" applyFill="1" applyBorder="1" applyProtection="1">
      <protection hidden="1"/>
    </xf>
    <xf numFmtId="43" fontId="1" fillId="0" borderId="19" xfId="33" applyFont="1" applyFill="1" applyBorder="1" applyProtection="1">
      <protection hidden="1"/>
    </xf>
    <xf numFmtId="43" fontId="0" fillId="0" borderId="19" xfId="0" applyNumberFormat="1" applyFill="1" applyBorder="1" applyProtection="1">
      <protection hidden="1"/>
    </xf>
    <xf numFmtId="43" fontId="11" fillId="0" borderId="19" xfId="0" applyNumberFormat="1" applyFont="1" applyFill="1" applyBorder="1" applyProtection="1">
      <protection hidden="1"/>
    </xf>
    <xf numFmtId="43" fontId="4" fillId="0" borderId="0" xfId="33" applyFont="1" applyFill="1" applyBorder="1" applyAlignment="1" applyProtection="1">
      <alignment horizontal="center" vertical="center" wrapText="1"/>
      <protection hidden="1"/>
    </xf>
    <xf numFmtId="43" fontId="11" fillId="0" borderId="0" xfId="33" applyFont="1" applyFill="1" applyProtection="1">
      <protection hidden="1"/>
    </xf>
    <xf numFmtId="43" fontId="4" fillId="0" borderId="19" xfId="33" applyFont="1" applyFill="1" applyBorder="1" applyAlignment="1" applyProtection="1">
      <alignment horizontal="center" vertical="center" wrapText="1"/>
      <protection hidden="1"/>
    </xf>
    <xf numFmtId="43" fontId="11" fillId="0" borderId="20" xfId="33" applyFont="1" applyFill="1" applyBorder="1" applyProtection="1">
      <protection hidden="1"/>
    </xf>
    <xf numFmtId="43" fontId="7" fillId="0" borderId="0" xfId="33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1" fillId="0" borderId="20" xfId="37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hidden="1"/>
    </xf>
    <xf numFmtId="43" fontId="4" fillId="25" borderId="19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43" fontId="1" fillId="0" borderId="0" xfId="33" applyFont="1" applyFill="1" applyAlignment="1" applyProtection="1">
      <alignment horizontal="center"/>
      <protection hidden="1"/>
    </xf>
    <xf numFmtId="43" fontId="7" fillId="0" borderId="0" xfId="0" applyNumberFormat="1" applyFont="1" applyFill="1" applyProtection="1">
      <protection hidden="1"/>
    </xf>
    <xf numFmtId="0" fontId="39" fillId="0" borderId="19" xfId="38" applyFont="1" applyFill="1" applyBorder="1" applyAlignment="1">
      <alignment wrapText="1"/>
    </xf>
    <xf numFmtId="0" fontId="4" fillId="0" borderId="19" xfId="38" applyFont="1" applyFill="1" applyBorder="1" applyAlignment="1">
      <alignment wrapText="1"/>
    </xf>
    <xf numFmtId="0" fontId="4" fillId="0" borderId="19" xfId="0" applyFont="1" applyFill="1" applyBorder="1"/>
    <xf numFmtId="0" fontId="34" fillId="0" borderId="19" xfId="0" applyFont="1" applyFill="1" applyBorder="1" applyAlignment="1" applyProtection="1">
      <alignment vertical="justify"/>
      <protection hidden="1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Protection="1">
      <protection hidden="1"/>
    </xf>
    <xf numFmtId="43" fontId="3" fillId="0" borderId="0" xfId="33" applyFont="1" applyFill="1" applyProtection="1">
      <protection hidden="1"/>
    </xf>
    <xf numFmtId="0" fontId="34" fillId="0" borderId="19" xfId="0" applyFont="1" applyFill="1" applyBorder="1" applyAlignment="1" applyProtection="1">
      <alignment vertical="center"/>
      <protection hidden="1"/>
    </xf>
    <xf numFmtId="43" fontId="6" fillId="0" borderId="19" xfId="33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3" fillId="0" borderId="0" xfId="0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3" fillId="0" borderId="25" xfId="0" applyNumberFormat="1" applyFont="1" applyBorder="1" applyAlignment="1">
      <alignment horizontal="right" vertical="top" wrapText="1"/>
    </xf>
    <xf numFmtId="0" fontId="43" fillId="0" borderId="25" xfId="0" applyFont="1" applyBorder="1" applyAlignment="1">
      <alignment horizontal="right" vertical="top" wrapText="1"/>
    </xf>
    <xf numFmtId="10" fontId="1" fillId="0" borderId="0" xfId="40" applyNumberFormat="1" applyBorder="1" applyProtection="1">
      <protection hidden="1"/>
    </xf>
    <xf numFmtId="10" fontId="11" fillId="0" borderId="11" xfId="40" applyNumberFormat="1" applyFont="1" applyBorder="1" applyProtection="1">
      <protection hidden="1"/>
    </xf>
    <xf numFmtId="0" fontId="43" fillId="0" borderId="10" xfId="0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10" fontId="43" fillId="0" borderId="11" xfId="0" applyNumberFormat="1" applyFont="1" applyBorder="1" applyAlignment="1">
      <alignment horizontal="right" vertical="top" wrapText="1"/>
    </xf>
    <xf numFmtId="9" fontId="43" fillId="0" borderId="11" xfId="0" applyNumberFormat="1" applyFont="1" applyBorder="1" applyAlignment="1">
      <alignment horizontal="right" vertical="top" wrapText="1"/>
    </xf>
    <xf numFmtId="4" fontId="43" fillId="0" borderId="0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9" fontId="43" fillId="0" borderId="14" xfId="0" applyNumberFormat="1" applyFont="1" applyBorder="1" applyAlignment="1">
      <alignment horizontal="right" vertical="top" wrapText="1"/>
    </xf>
    <xf numFmtId="0" fontId="9" fillId="0" borderId="21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justify"/>
      <protection hidden="1"/>
    </xf>
    <xf numFmtId="0" fontId="9" fillId="0" borderId="0" xfId="0" applyFont="1" applyFill="1" applyProtection="1">
      <protection hidden="1"/>
    </xf>
    <xf numFmtId="0" fontId="9" fillId="0" borderId="20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37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34" fillId="0" borderId="19" xfId="0" applyFont="1" applyFill="1" applyBorder="1" applyAlignment="1" applyProtection="1">
      <alignment horizontal="justify" vertical="center"/>
      <protection hidden="1"/>
    </xf>
    <xf numFmtId="43" fontId="10" fillId="0" borderId="0" xfId="33" applyFont="1" applyFill="1" applyAlignment="1" applyProtection="1">
      <protection hidden="1"/>
    </xf>
    <xf numFmtId="43" fontId="4" fillId="0" borderId="0" xfId="33" applyFont="1" applyFill="1" applyAlignment="1" applyProtection="1">
      <protection hidden="1"/>
    </xf>
    <xf numFmtId="43" fontId="7" fillId="0" borderId="0" xfId="33" applyFont="1" applyFill="1" applyAlignment="1" applyProtection="1">
      <protection hidden="1"/>
    </xf>
    <xf numFmtId="0" fontId="1" fillId="0" borderId="19" xfId="0" applyFont="1" applyFill="1" applyBorder="1" applyProtection="1">
      <protection locked="0" hidden="1"/>
    </xf>
    <xf numFmtId="43" fontId="1" fillId="0" borderId="19" xfId="33" applyFont="1" applyFill="1" applyBorder="1" applyProtection="1">
      <protection locked="0" hidden="1"/>
    </xf>
    <xf numFmtId="43" fontId="1" fillId="0" borderId="0" xfId="33" applyFont="1" applyFill="1" applyBorder="1" applyProtection="1">
      <protection hidden="1"/>
    </xf>
    <xf numFmtId="43" fontId="1" fillId="0" borderId="19" xfId="33" applyNumberFormat="1" applyFont="1" applyFill="1" applyBorder="1" applyProtection="1">
      <protection hidden="1"/>
    </xf>
    <xf numFmtId="43" fontId="1" fillId="0" borderId="19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43" fontId="1" fillId="0" borderId="20" xfId="33" applyFont="1" applyFill="1" applyBorder="1" applyProtection="1">
      <protection hidden="1"/>
    </xf>
    <xf numFmtId="43" fontId="1" fillId="0" borderId="0" xfId="33" applyFont="1" applyFill="1" applyProtection="1">
      <protection hidden="1"/>
    </xf>
    <xf numFmtId="0" fontId="8" fillId="0" borderId="19" xfId="0" applyFont="1" applyFill="1" applyBorder="1" applyProtection="1">
      <protection hidden="1"/>
    </xf>
    <xf numFmtId="14" fontId="7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Alignment="1" applyProtection="1">
      <alignment horizontal="justify"/>
      <protection hidden="1"/>
    </xf>
    <xf numFmtId="2" fontId="0" fillId="0" borderId="19" xfId="0" applyNumberFormat="1" applyFill="1" applyBorder="1" applyProtection="1">
      <protection hidden="1"/>
    </xf>
    <xf numFmtId="0" fontId="15" fillId="0" borderId="19" xfId="0" applyFont="1" applyFill="1" applyBorder="1" applyProtection="1">
      <protection hidden="1"/>
    </xf>
    <xf numFmtId="43" fontId="11" fillId="0" borderId="19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11" fillId="0" borderId="0" xfId="33" applyNumberFormat="1" applyFont="1" applyFill="1" applyProtection="1">
      <protection hidden="1"/>
    </xf>
    <xf numFmtId="43" fontId="11" fillId="0" borderId="0" xfId="0" applyNumberFormat="1" applyFont="1" applyFill="1" applyProtection="1">
      <protection hidden="1"/>
    </xf>
    <xf numFmtId="0" fontId="3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43" fontId="38" fillId="0" borderId="19" xfId="33" applyFont="1" applyFill="1" applyBorder="1" applyAlignment="1" applyProtection="1">
      <alignment horizontal="center"/>
      <protection hidden="1"/>
    </xf>
    <xf numFmtId="43" fontId="38" fillId="0" borderId="19" xfId="33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0" fontId="34" fillId="0" borderId="19" xfId="0" applyFont="1" applyFill="1" applyBorder="1" applyAlignment="1" applyProtection="1">
      <alignment horizontal="center" vertical="justify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4" fontId="15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0" borderId="19" xfId="0" applyFont="1" applyFill="1" applyBorder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3" fontId="1" fillId="0" borderId="0" xfId="33" applyFont="1" applyFill="1" applyBorder="1" applyProtection="1">
      <protection locked="0" hidden="1"/>
    </xf>
    <xf numFmtId="43" fontId="1" fillId="0" borderId="0" xfId="33" applyFont="1" applyFill="1" applyBorder="1" applyAlignment="1" applyProtection="1">
      <alignment horizontal="center"/>
      <protection hidden="1"/>
    </xf>
    <xf numFmtId="43" fontId="1" fillId="0" borderId="0" xfId="33" applyNumberFormat="1" applyFon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0" fontId="8" fillId="0" borderId="19" xfId="0" applyFont="1" applyFill="1" applyBorder="1" applyProtection="1">
      <protection locked="0"/>
    </xf>
    <xf numFmtId="0" fontId="34" fillId="0" borderId="20" xfId="0" applyFont="1" applyFill="1" applyBorder="1" applyAlignment="1" applyProtection="1">
      <alignment vertical="justify"/>
      <protection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0" xfId="0" applyFont="1" applyFill="1" applyBorder="1" applyProtection="1">
      <protection locked="0" hidden="1"/>
    </xf>
    <xf numFmtId="43" fontId="1" fillId="0" borderId="20" xfId="33" applyFont="1" applyFill="1" applyBorder="1" applyProtection="1">
      <protection locked="0" hidden="1"/>
    </xf>
    <xf numFmtId="43" fontId="1" fillId="0" borderId="20" xfId="33" applyFont="1" applyFill="1" applyBorder="1" applyAlignment="1" applyProtection="1">
      <alignment horizontal="center"/>
      <protection hidden="1"/>
    </xf>
    <xf numFmtId="43" fontId="1" fillId="0" borderId="20" xfId="33" applyNumberFormat="1" applyFont="1" applyFill="1" applyBorder="1" applyProtection="1">
      <protection hidden="1"/>
    </xf>
    <xf numFmtId="43" fontId="0" fillId="0" borderId="20" xfId="0" applyNumberFormat="1" applyFill="1" applyBorder="1" applyProtection="1">
      <protection hidden="1"/>
    </xf>
    <xf numFmtId="43" fontId="1" fillId="0" borderId="20" xfId="0" applyNumberFormat="1" applyFont="1" applyFill="1" applyBorder="1" applyProtection="1">
      <protection hidden="1"/>
    </xf>
    <xf numFmtId="43" fontId="42" fillId="0" borderId="0" xfId="0" applyNumberFormat="1" applyFont="1" applyFill="1" applyProtection="1">
      <protection hidden="1"/>
    </xf>
    <xf numFmtId="0" fontId="8" fillId="0" borderId="20" xfId="0" applyFont="1" applyFill="1" applyBorder="1" applyProtection="1">
      <protection hidden="1"/>
    </xf>
    <xf numFmtId="14" fontId="7" fillId="0" borderId="20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horizontal="center"/>
      <protection locked="0" hidden="1"/>
    </xf>
    <xf numFmtId="0" fontId="11" fillId="0" borderId="20" xfId="0" applyFont="1" applyFill="1" applyBorder="1" applyProtection="1">
      <protection locked="0" hidden="1"/>
    </xf>
    <xf numFmtId="43" fontId="11" fillId="0" borderId="20" xfId="33" applyFont="1" applyFill="1" applyBorder="1" applyProtection="1">
      <protection locked="0" hidden="1"/>
    </xf>
    <xf numFmtId="43" fontId="11" fillId="0" borderId="20" xfId="33" applyNumberFormat="1" applyFont="1" applyFill="1" applyBorder="1" applyProtection="1">
      <protection hidden="1"/>
    </xf>
    <xf numFmtId="43" fontId="11" fillId="0" borderId="20" xfId="0" applyNumberFormat="1" applyFont="1" applyFill="1" applyBorder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20" xfId="0" applyFill="1" applyBorder="1" applyProtection="1"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14" fontId="14" fillId="0" borderId="22" xfId="0" applyNumberFormat="1" applyFont="1" applyFill="1" applyBorder="1" applyAlignment="1" applyProtection="1">
      <alignment horizontal="center"/>
      <protection hidden="1"/>
    </xf>
    <xf numFmtId="43" fontId="41" fillId="0" borderId="0" xfId="0" applyNumberFormat="1" applyFont="1" applyFill="1" applyProtection="1">
      <protection hidden="1"/>
    </xf>
    <xf numFmtId="14" fontId="14" fillId="0" borderId="23" xfId="0" applyNumberFormat="1" applyFont="1" applyFill="1" applyBorder="1" applyAlignment="1" applyProtection="1">
      <alignment horizontal="center"/>
      <protection hidden="1"/>
    </xf>
    <xf numFmtId="14" fontId="7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4" fontId="36" fillId="0" borderId="19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Protection="1">
      <protection locked="0" hidden="1"/>
    </xf>
    <xf numFmtId="43" fontId="6" fillId="0" borderId="19" xfId="33" applyFont="1" applyFill="1" applyBorder="1" applyProtection="1">
      <protection locked="0" hidden="1"/>
    </xf>
    <xf numFmtId="43" fontId="1" fillId="0" borderId="0" xfId="33" applyNumberFormat="1" applyFont="1" applyFill="1" applyProtection="1">
      <protection hidden="1"/>
    </xf>
    <xf numFmtId="43" fontId="1" fillId="0" borderId="0" xfId="0" applyNumberFormat="1" applyFont="1" applyFill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40" fillId="0" borderId="19" xfId="0" applyFont="1" applyFill="1" applyBorder="1" applyProtection="1">
      <protection hidden="1"/>
    </xf>
    <xf numFmtId="43" fontId="7" fillId="0" borderId="0" xfId="33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Protection="1">
      <protection hidden="1"/>
    </xf>
    <xf numFmtId="43" fontId="7" fillId="0" borderId="0" xfId="33" applyFont="1" applyBorder="1" applyAlignment="1" applyProtection="1">
      <alignment horizontal="center"/>
      <protection hidden="1"/>
    </xf>
    <xf numFmtId="43" fontId="7" fillId="0" borderId="0" xfId="33" applyFont="1" applyFill="1" applyBorder="1" applyAlignment="1" applyProtection="1">
      <alignment horizontal="center"/>
      <protection hidden="1"/>
    </xf>
    <xf numFmtId="44" fontId="5" fillId="0" borderId="18" xfId="35" applyFont="1" applyFill="1" applyBorder="1" applyAlignment="1" applyProtection="1">
      <alignment horizontal="center"/>
      <protection hidden="1"/>
    </xf>
    <xf numFmtId="44" fontId="5" fillId="0" borderId="24" xfId="35" applyFont="1" applyFill="1" applyBorder="1" applyAlignment="1" applyProtection="1">
      <alignment horizontal="center" vertical="top"/>
      <protection hidden="1"/>
    </xf>
    <xf numFmtId="43" fontId="10" fillId="0" borderId="0" xfId="33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4" xfId="37" applyFont="1" applyFill="1" applyBorder="1" applyAlignment="1" applyProtection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18" xfId="37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top" wrapText="1"/>
      <protection hidden="1"/>
    </xf>
    <xf numFmtId="0" fontId="7" fillId="24" borderId="16" xfId="0" applyFont="1" applyFill="1" applyBorder="1" applyAlignment="1" applyProtection="1">
      <alignment horizontal="center"/>
      <protection hidden="1"/>
    </xf>
    <xf numFmtId="0" fontId="7" fillId="24" borderId="17" xfId="0" applyFont="1" applyFill="1" applyBorder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0" fontId="7" fillId="24" borderId="16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9" fontId="0" fillId="0" borderId="0" xfId="0" applyNumberFormat="1" applyFill="1" applyProtection="1">
      <protection hidden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calculo_isr_salarios2008" xfId="34"/>
    <cellStyle name="Moneda" xfId="35" builtinId="4"/>
    <cellStyle name="Neutral" xfId="36" builtinId="28" customBuiltin="1"/>
    <cellStyle name="Normal" xfId="0" builtinId="0"/>
    <cellStyle name="Normal_~9885111" xfId="37"/>
    <cellStyle name="Normal_Hoja2" xfId="38"/>
    <cellStyle name="Notas" xfId="39" builtinId="10" customBuiltin="1"/>
    <cellStyle name="Porcentual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  <cellStyle name="Währung" xfId="49"/>
  </cellStyles>
  <dxfs count="0"/>
  <tableStyles count="0" defaultTableStyle="TableStyleMedium9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3" name="WordArt 7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4" name="WordArt 72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5" name="WordArt 73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6" name="WordArt 74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7" name="WordArt 75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8" name="WordArt 76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9" name="WordArt 77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0" name="WordArt 78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1" name="WordArt 79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2" name="WordArt 8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3" name="WordArt 8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COMKIKI\KIKI-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O309"/>
  <sheetViews>
    <sheetView tabSelected="1" topLeftCell="A301" workbookViewId="0">
      <selection activeCell="X311" sqref="X311"/>
    </sheetView>
  </sheetViews>
  <sheetFormatPr baseColWidth="10" defaultRowHeight="15"/>
  <cols>
    <col min="1" max="1" width="0.7109375" style="89" customWidth="1"/>
    <col min="2" max="2" width="3.5703125" style="10" hidden="1" customWidth="1"/>
    <col min="3" max="3" width="3.85546875" style="10" hidden="1" customWidth="1"/>
    <col min="4" max="4" width="45.85546875" style="122" customWidth="1"/>
    <col min="5" max="5" width="16.5703125" style="41" hidden="1" customWidth="1"/>
    <col min="6" max="6" width="24.85546875" style="41" hidden="1" customWidth="1"/>
    <col min="7" max="7" width="11.42578125" style="42" hidden="1" customWidth="1"/>
    <col min="8" max="8" width="14.7109375" style="53" customWidth="1"/>
    <col min="9" max="15" width="14.7109375" style="53" hidden="1" customWidth="1"/>
    <col min="16" max="16" width="5.5703125" style="36" customWidth="1"/>
    <col min="17" max="17" width="9" style="36" hidden="1" customWidth="1"/>
    <col min="18" max="18" width="11.42578125" style="10" hidden="1" customWidth="1"/>
    <col min="19" max="19" width="12.5703125" style="10" hidden="1" customWidth="1"/>
    <col min="20" max="20" width="11.42578125" style="10" hidden="1" customWidth="1"/>
    <col min="21" max="21" width="11.85546875" style="10" hidden="1" customWidth="1"/>
    <col min="22" max="22" width="11.5703125" style="10" bestFit="1" customWidth="1"/>
    <col min="23" max="23" width="11.5703125" style="10" customWidth="1"/>
    <col min="24" max="24" width="10.7109375" style="10" customWidth="1"/>
    <col min="25" max="25" width="11" style="10" hidden="1" customWidth="1"/>
    <col min="26" max="26" width="11.42578125" style="10" hidden="1" customWidth="1"/>
    <col min="27" max="27" width="12.85546875" style="10" hidden="1" customWidth="1"/>
    <col min="28" max="28" width="11.42578125" style="10" customWidth="1"/>
    <col min="29" max="29" width="7.140625" style="10" hidden="1" customWidth="1"/>
    <col min="30" max="30" width="10.7109375" style="52" customWidth="1"/>
    <col min="31" max="31" width="11.140625" style="37" customWidth="1"/>
    <col min="32" max="32" width="11" style="10" hidden="1" customWidth="1"/>
    <col min="33" max="33" width="10.85546875" style="10" customWidth="1"/>
    <col min="34" max="34" width="9.42578125" style="10" customWidth="1"/>
    <col min="35" max="35" width="12.42578125" style="10" bestFit="1" customWidth="1"/>
    <col min="36" max="36" width="54.85546875" style="10" customWidth="1"/>
    <col min="37" max="37" width="11.5703125" style="10" customWidth="1"/>
    <col min="38" max="38" width="11.42578125" style="10" customWidth="1"/>
    <col min="39" max="16384" width="11.42578125" style="10"/>
  </cols>
  <sheetData>
    <row r="1" spans="1:41" ht="51.75" hidden="1" customHeight="1">
      <c r="T1" s="10">
        <f t="shared" ref="T1:AB1" si="0">SUBTOTAL(9,T9:T264)</f>
        <v>0</v>
      </c>
      <c r="U1" s="10">
        <f t="shared" si="0"/>
        <v>39169.324696666619</v>
      </c>
      <c r="V1" s="10">
        <f t="shared" si="0"/>
        <v>1660703.0400000003</v>
      </c>
      <c r="W1" s="10">
        <f t="shared" si="0"/>
        <v>66428.010000000009</v>
      </c>
      <c r="X1" s="10">
        <f t="shared" si="0"/>
        <v>116247.96000000017</v>
      </c>
      <c r="Y1" s="38">
        <f t="shared" si="0"/>
        <v>0</v>
      </c>
      <c r="Z1" s="10">
        <f t="shared" si="0"/>
        <v>182675.97000000003</v>
      </c>
      <c r="AA1" s="10">
        <f t="shared" si="0"/>
        <v>1660703.0400000003</v>
      </c>
      <c r="AB1" s="10">
        <f t="shared" si="0"/>
        <v>1843379.0099999991</v>
      </c>
      <c r="AD1" s="52">
        <f>SUBTOTAL(9,AD9:AD264)</f>
        <v>37800</v>
      </c>
      <c r="AE1" s="37">
        <f>SUBTOTAL(9,AE9:AE264)</f>
        <v>0</v>
      </c>
      <c r="AF1" s="10" t="e">
        <f>SUBTOTAL(9,AF9:AF243)</f>
        <v>#N/A</v>
      </c>
      <c r="AG1" s="10">
        <f>SUBTOTAL(9,AG9:AG264)</f>
        <v>144775.49999999983</v>
      </c>
      <c r="AH1" s="10">
        <f>SUBTOTAL(9,AH9:AH264)</f>
        <v>5366.579999999999</v>
      </c>
      <c r="AI1" s="10">
        <f>SUBTOTAL(9,AI9:AI264)</f>
        <v>1666170.060000001</v>
      </c>
      <c r="AJ1" s="10">
        <f>SUBTOTAL(9,AJ9:AJ243)</f>
        <v>0</v>
      </c>
    </row>
    <row r="2" spans="1:41" hidden="1">
      <c r="V2" s="45">
        <f>TRUNC(U2*P2,2)</f>
        <v>0</v>
      </c>
      <c r="W2" s="46">
        <f>TRUNC(U2*P2*0.04,2)</f>
        <v>0</v>
      </c>
      <c r="X2" s="45">
        <f>TRUNC(U2*0.07*P2,2)</f>
        <v>0</v>
      </c>
      <c r="Y2" s="38">
        <f>S2</f>
        <v>0</v>
      </c>
      <c r="Z2" s="45">
        <f>TRUNC(X2+W2+(IF(Y2&gt;519,519,Y2))+IF(R2=0,0,R2*U2),2)</f>
        <v>0</v>
      </c>
      <c r="AA2" s="45">
        <f>TRUNC((IF(R2=0,P2*U2,(P2-R2)*U2))+(IF(Y2&lt;519,0,Y2-519)),2)+T2</f>
        <v>0</v>
      </c>
      <c r="AB2" s="45">
        <f>Z2+AA2</f>
        <v>0</v>
      </c>
      <c r="AC2" s="45">
        <f>W2</f>
        <v>0</v>
      </c>
      <c r="AD2" s="83"/>
      <c r="AE2" s="45"/>
      <c r="AF2" s="39">
        <f>IF(U2&gt;0.01,(AA2-VLOOKUP(AA2,quincenal,1))*VLOOKUP(AA2,quincenal,3)+VLOOKUP(AA2,quincenal,2)-VLOOKUP(AA2,subquincenal,2),0)</f>
        <v>0</v>
      </c>
      <c r="AG2" s="45">
        <f>TRUNC(IF(AF2&gt;0.01,AF2,0),2)</f>
        <v>0</v>
      </c>
      <c r="AH2" s="48">
        <f>TRUNC(IF(AF2&lt;0.01,-AF2,0),2)</f>
        <v>0</v>
      </c>
      <c r="AI2" s="48">
        <f>AB2-AD2-AE2-AG2+AH2-W2</f>
        <v>0</v>
      </c>
      <c r="AK2" s="47"/>
    </row>
    <row r="3" spans="1:41" ht="15.75">
      <c r="A3" s="221" t="s">
        <v>358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47"/>
    </row>
    <row r="4" spans="1:41" ht="15" customHeight="1">
      <c r="A4" s="104"/>
      <c r="B4" s="217" t="s">
        <v>503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47"/>
    </row>
    <row r="5" spans="1:41" ht="15" customHeight="1">
      <c r="A5" s="104"/>
      <c r="B5" s="218" t="s">
        <v>514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47"/>
    </row>
    <row r="6" spans="1:41" ht="14.25">
      <c r="B6" s="54"/>
      <c r="D6" s="214" t="s">
        <v>515</v>
      </c>
      <c r="W6" s="46"/>
      <c r="X6" s="45"/>
      <c r="Y6" s="38"/>
      <c r="Z6" s="45"/>
      <c r="AA6" s="45"/>
      <c r="AB6" s="45"/>
      <c r="AC6" s="45"/>
      <c r="AD6" s="83"/>
      <c r="AE6" s="45"/>
      <c r="AF6" s="39"/>
      <c r="AG6" s="45"/>
      <c r="AH6" s="48"/>
      <c r="AI6" s="48"/>
      <c r="AK6" s="47"/>
    </row>
    <row r="7" spans="1:41" ht="48" customHeight="1">
      <c r="A7" s="75"/>
      <c r="B7" s="55" t="s">
        <v>108</v>
      </c>
      <c r="C7" s="55" t="s">
        <v>0</v>
      </c>
      <c r="D7" s="215" t="s">
        <v>1</v>
      </c>
      <c r="E7" s="56" t="s">
        <v>110</v>
      </c>
      <c r="F7" s="56" t="s">
        <v>111</v>
      </c>
      <c r="G7" s="56" t="s">
        <v>2</v>
      </c>
      <c r="H7" s="57" t="s">
        <v>3</v>
      </c>
      <c r="I7" s="57"/>
      <c r="J7" s="57"/>
      <c r="K7" s="57"/>
      <c r="L7" s="57"/>
      <c r="M7" s="57"/>
      <c r="N7" s="57"/>
      <c r="O7" s="57"/>
      <c r="P7" s="55" t="s">
        <v>5</v>
      </c>
      <c r="Q7" s="55" t="s">
        <v>127</v>
      </c>
      <c r="R7" s="55" t="s">
        <v>4</v>
      </c>
      <c r="S7" s="55" t="s">
        <v>130</v>
      </c>
      <c r="T7" s="55" t="s">
        <v>132</v>
      </c>
      <c r="U7" s="55" t="s">
        <v>128</v>
      </c>
      <c r="V7" s="55" t="s">
        <v>218</v>
      </c>
      <c r="W7" s="55" t="s">
        <v>6</v>
      </c>
      <c r="X7" s="55" t="s">
        <v>7</v>
      </c>
      <c r="Y7" s="55" t="s">
        <v>130</v>
      </c>
      <c r="Z7" s="55" t="s">
        <v>8</v>
      </c>
      <c r="AA7" s="55" t="s">
        <v>9</v>
      </c>
      <c r="AB7" s="55" t="s">
        <v>10</v>
      </c>
      <c r="AC7" s="55" t="s">
        <v>166</v>
      </c>
      <c r="AD7" s="84" t="s">
        <v>11</v>
      </c>
      <c r="AE7" s="90" t="s">
        <v>139</v>
      </c>
      <c r="AF7" s="55" t="s">
        <v>109</v>
      </c>
      <c r="AG7" s="55" t="s">
        <v>12</v>
      </c>
      <c r="AH7" s="55" t="s">
        <v>13</v>
      </c>
      <c r="AI7" s="55" t="s">
        <v>14</v>
      </c>
      <c r="AJ7" s="55" t="s">
        <v>219</v>
      </c>
    </row>
    <row r="8" spans="1:41" ht="18" customHeight="1">
      <c r="A8" s="75"/>
      <c r="B8" s="58"/>
      <c r="C8" s="58"/>
      <c r="D8" s="58" t="s">
        <v>17</v>
      </c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82"/>
      <c r="AE8" s="82"/>
      <c r="AF8" s="58"/>
      <c r="AG8" s="58"/>
      <c r="AH8" s="58"/>
      <c r="AI8" s="58"/>
      <c r="AJ8" s="58"/>
    </row>
    <row r="9" spans="1:41" s="40" customFormat="1" ht="36" customHeight="1">
      <c r="A9" s="100">
        <v>1</v>
      </c>
      <c r="B9" s="68">
        <v>1</v>
      </c>
      <c r="C9" s="68">
        <v>1</v>
      </c>
      <c r="D9" s="61" t="s">
        <v>370</v>
      </c>
      <c r="E9" s="144" t="s">
        <v>148</v>
      </c>
      <c r="F9" s="144" t="s">
        <v>172</v>
      </c>
      <c r="G9" s="63">
        <v>41183</v>
      </c>
      <c r="H9" s="102" t="s">
        <v>15</v>
      </c>
      <c r="I9" s="102"/>
      <c r="J9" s="102"/>
      <c r="K9" s="102"/>
      <c r="L9" s="102"/>
      <c r="M9" s="102"/>
      <c r="N9" s="102"/>
      <c r="O9" s="102"/>
      <c r="P9" s="69">
        <v>15</v>
      </c>
      <c r="Q9" s="69" t="s">
        <v>209</v>
      </c>
      <c r="R9" s="69"/>
      <c r="S9" s="70">
        <v>0</v>
      </c>
      <c r="T9" s="71">
        <v>0</v>
      </c>
      <c r="U9" s="76">
        <f t="shared" ref="U9:U17" si="1">16688/30</f>
        <v>556.26666666666665</v>
      </c>
      <c r="V9" s="77">
        <f t="shared" ref="V9" si="2">TRUNC(U9*P9,2)</f>
        <v>8344</v>
      </c>
      <c r="W9" s="78">
        <f t="shared" ref="W9" si="3">TRUNC(U9*P9*0.04,2)</f>
        <v>333.76</v>
      </c>
      <c r="X9" s="77">
        <f t="shared" ref="X9" si="4">TRUNC(U9*0.07*P9,2)</f>
        <v>584.08000000000004</v>
      </c>
      <c r="Y9" s="79">
        <f t="shared" ref="Y9" si="5">S9</f>
        <v>0</v>
      </c>
      <c r="Z9" s="77">
        <f t="shared" ref="Z9" si="6">TRUNC(X9+W9+(IF(Y9&gt;519,519,Y9))+IF(R9=0,0,R9*U9),2)</f>
        <v>917.84</v>
      </c>
      <c r="AA9" s="77">
        <f t="shared" ref="AA9" si="7">TRUNC((IF(R9=0,P9*U9,(P9-R9)*U9))+(IF(Y9&lt;519,0,Y9-519)),2)+T9</f>
        <v>8344</v>
      </c>
      <c r="AB9" s="77">
        <f t="shared" ref="AB9" si="8">Z9+AA9</f>
        <v>9261.84</v>
      </c>
      <c r="AC9" s="77"/>
      <c r="AD9" s="77"/>
      <c r="AE9" s="77">
        <v>0</v>
      </c>
      <c r="AF9" s="80">
        <f t="shared" ref="AF9" si="9">IF(U9&gt;0.01,(AA9-VLOOKUP(AA9,quincenal,1))*VLOOKUP(AA9,quincenal,3)+VLOOKUP(AA9,quincenal,2)-VLOOKUP(AA9,subquincenal,2),0)</f>
        <v>1235.0892240000003</v>
      </c>
      <c r="AG9" s="77">
        <f t="shared" ref="AG9" si="10">TRUNC(IF(AF9&gt;0.01,AF9,0),2)</f>
        <v>1235.08</v>
      </c>
      <c r="AH9" s="81">
        <f t="shared" ref="AH9" si="11">TRUNC(IF(AF9&lt;0.01,-AF9,0),2)</f>
        <v>0</v>
      </c>
      <c r="AI9" s="81">
        <f t="shared" ref="AI9" si="12">AB9-AD9-AE9-AG9+AH9</f>
        <v>8026.76</v>
      </c>
      <c r="AJ9" s="145"/>
      <c r="AK9" s="40">
        <v>1</v>
      </c>
      <c r="AM9" s="87"/>
      <c r="AO9" s="237"/>
    </row>
    <row r="10" spans="1:41" s="40" customFormat="1" ht="36" customHeight="1">
      <c r="A10" s="100">
        <v>2</v>
      </c>
      <c r="B10" s="68"/>
      <c r="C10" s="68"/>
      <c r="D10" s="61" t="s">
        <v>462</v>
      </c>
      <c r="E10" s="144"/>
      <c r="F10" s="144"/>
      <c r="G10" s="63"/>
      <c r="H10" s="102" t="s">
        <v>15</v>
      </c>
      <c r="I10" s="102"/>
      <c r="J10" s="102"/>
      <c r="K10" s="102"/>
      <c r="L10" s="102"/>
      <c r="M10" s="102"/>
      <c r="N10" s="102"/>
      <c r="O10" s="102"/>
      <c r="P10" s="69">
        <v>15</v>
      </c>
      <c r="Q10" s="69" t="s">
        <v>209</v>
      </c>
      <c r="R10" s="69"/>
      <c r="S10" s="70">
        <v>0</v>
      </c>
      <c r="T10" s="71">
        <v>0</v>
      </c>
      <c r="U10" s="76">
        <f t="shared" si="1"/>
        <v>556.26666666666665</v>
      </c>
      <c r="V10" s="77">
        <f t="shared" ref="V10" si="13">TRUNC(U10*P10,2)</f>
        <v>8344</v>
      </c>
      <c r="W10" s="78">
        <f t="shared" ref="W10" si="14">TRUNC(U10*P10*0.04,2)</f>
        <v>333.76</v>
      </c>
      <c r="X10" s="77">
        <f t="shared" ref="X10" si="15">TRUNC(U10*0.07*P10,2)</f>
        <v>584.08000000000004</v>
      </c>
      <c r="Y10" s="79">
        <f t="shared" ref="Y10" si="16">S10</f>
        <v>0</v>
      </c>
      <c r="Z10" s="77">
        <f t="shared" ref="Z10" si="17">TRUNC(X10+W10+(IF(Y10&gt;519,519,Y10))+IF(R10=0,0,R10*U10),2)</f>
        <v>917.84</v>
      </c>
      <c r="AA10" s="77">
        <f t="shared" ref="AA10" si="18">TRUNC((IF(R10=0,P10*U10,(P10-R10)*U10))+(IF(Y10&lt;519,0,Y10-519)),2)+T10</f>
        <v>8344</v>
      </c>
      <c r="AB10" s="77">
        <f t="shared" ref="AB10" si="19">Z10+AA10</f>
        <v>9261.84</v>
      </c>
      <c r="AC10" s="77"/>
      <c r="AD10" s="77">
        <v>250</v>
      </c>
      <c r="AE10" s="77">
        <v>0</v>
      </c>
      <c r="AF10" s="80">
        <f t="shared" ref="AF10" si="20">IF(U10&gt;0.01,(AA10-VLOOKUP(AA10,quincenal,1))*VLOOKUP(AA10,quincenal,3)+VLOOKUP(AA10,quincenal,2)-VLOOKUP(AA10,subquincenal,2),0)</f>
        <v>1235.0892240000003</v>
      </c>
      <c r="AG10" s="77">
        <f t="shared" ref="AG10" si="21">TRUNC(IF(AF10&gt;0.01,AF10,0),2)</f>
        <v>1235.08</v>
      </c>
      <c r="AH10" s="81">
        <f t="shared" ref="AH10" si="22">TRUNC(IF(AF10&lt;0.01,-AF10,0),2)</f>
        <v>0</v>
      </c>
      <c r="AI10" s="81">
        <f t="shared" ref="AI10" si="23">AB10-AD10-AE10-AG10+AH10</f>
        <v>7776.76</v>
      </c>
      <c r="AJ10" s="70"/>
      <c r="AK10" s="40">
        <v>2</v>
      </c>
      <c r="AM10" s="87"/>
    </row>
    <row r="11" spans="1:41" s="40" customFormat="1" ht="36" customHeight="1">
      <c r="A11" s="100">
        <v>3</v>
      </c>
      <c r="B11" s="68">
        <v>1</v>
      </c>
      <c r="C11" s="68">
        <v>1</v>
      </c>
      <c r="D11" s="61" t="s">
        <v>371</v>
      </c>
      <c r="E11" s="144"/>
      <c r="F11" s="144"/>
      <c r="G11" s="63">
        <v>41183</v>
      </c>
      <c r="H11" s="102" t="s">
        <v>15</v>
      </c>
      <c r="I11" s="102"/>
      <c r="J11" s="102"/>
      <c r="K11" s="102"/>
      <c r="L11" s="102"/>
      <c r="M11" s="102"/>
      <c r="N11" s="102"/>
      <c r="O11" s="102"/>
      <c r="P11" s="69">
        <v>15</v>
      </c>
      <c r="Q11" s="69" t="s">
        <v>209</v>
      </c>
      <c r="R11" s="69"/>
      <c r="S11" s="70">
        <v>0</v>
      </c>
      <c r="T11" s="71">
        <v>0</v>
      </c>
      <c r="U11" s="76">
        <f t="shared" si="1"/>
        <v>556.26666666666665</v>
      </c>
      <c r="V11" s="77">
        <f t="shared" ref="V11:V17" si="24">TRUNC(U11*P11,2)</f>
        <v>8344</v>
      </c>
      <c r="W11" s="78">
        <f t="shared" ref="W11:W17" si="25">TRUNC(U11*P11*0.04,2)</f>
        <v>333.76</v>
      </c>
      <c r="X11" s="77">
        <f t="shared" ref="X11:X17" si="26">TRUNC(U11*0.07*P11,2)</f>
        <v>584.08000000000004</v>
      </c>
      <c r="Y11" s="79">
        <f t="shared" ref="Y11:Y17" si="27">S11</f>
        <v>0</v>
      </c>
      <c r="Z11" s="77">
        <f t="shared" ref="Z11:Z17" si="28">TRUNC(X11+W11+(IF(Y11&gt;519,519,Y11))+IF(R11=0,0,R11*U11),2)</f>
        <v>917.84</v>
      </c>
      <c r="AA11" s="77">
        <f t="shared" ref="AA11:AA17" si="29">TRUNC((IF(R11=0,P11*U11,(P11-R11)*U11))+(IF(Y11&lt;519,0,Y11-519)),2)+T11</f>
        <v>8344</v>
      </c>
      <c r="AB11" s="77">
        <f t="shared" ref="AB11:AB17" si="30">Z11+AA11</f>
        <v>9261.84</v>
      </c>
      <c r="AC11" s="77"/>
      <c r="AD11" s="77">
        <v>250</v>
      </c>
      <c r="AE11" s="77">
        <v>0</v>
      </c>
      <c r="AF11" s="80">
        <f t="shared" ref="AF11:AF17" si="31">IF(U11&gt;0.01,(AA11-VLOOKUP(AA11,quincenal,1))*VLOOKUP(AA11,quincenal,3)+VLOOKUP(AA11,quincenal,2)-VLOOKUP(AA11,subquincenal,2),0)</f>
        <v>1235.0892240000003</v>
      </c>
      <c r="AG11" s="77">
        <f t="shared" ref="AG11:AG17" si="32">TRUNC(IF(AF11&gt;0.01,AF11,0),2)</f>
        <v>1235.08</v>
      </c>
      <c r="AH11" s="81">
        <f t="shared" ref="AH11:AH17" si="33">TRUNC(IF(AF11&lt;0.01,-AF11,0),2)</f>
        <v>0</v>
      </c>
      <c r="AI11" s="81">
        <f t="shared" ref="AI11:AI17" si="34">AB11-AD11-AE11-AG11+AH11</f>
        <v>7776.76</v>
      </c>
      <c r="AJ11" s="70"/>
      <c r="AK11" s="40">
        <v>3</v>
      </c>
      <c r="AM11" s="87"/>
    </row>
    <row r="12" spans="1:41" s="40" customFormat="1" ht="36" customHeight="1">
      <c r="A12" s="100">
        <v>4</v>
      </c>
      <c r="B12" s="68">
        <v>1</v>
      </c>
      <c r="C12" s="68">
        <v>1</v>
      </c>
      <c r="D12" s="61" t="s">
        <v>372</v>
      </c>
      <c r="E12" s="144"/>
      <c r="F12" s="144"/>
      <c r="G12" s="63">
        <v>41183</v>
      </c>
      <c r="H12" s="102" t="s">
        <v>15</v>
      </c>
      <c r="I12" s="102"/>
      <c r="J12" s="102"/>
      <c r="K12" s="102"/>
      <c r="L12" s="102"/>
      <c r="M12" s="102"/>
      <c r="N12" s="102"/>
      <c r="O12" s="102"/>
      <c r="P12" s="69">
        <v>15</v>
      </c>
      <c r="Q12" s="69" t="s">
        <v>209</v>
      </c>
      <c r="R12" s="69"/>
      <c r="S12" s="70">
        <v>0</v>
      </c>
      <c r="T12" s="71">
        <v>0</v>
      </c>
      <c r="U12" s="76">
        <f t="shared" si="1"/>
        <v>556.26666666666665</v>
      </c>
      <c r="V12" s="77">
        <f t="shared" si="24"/>
        <v>8344</v>
      </c>
      <c r="W12" s="78">
        <f t="shared" si="25"/>
        <v>333.76</v>
      </c>
      <c r="X12" s="77">
        <f t="shared" si="26"/>
        <v>584.08000000000004</v>
      </c>
      <c r="Y12" s="79">
        <f t="shared" si="27"/>
        <v>0</v>
      </c>
      <c r="Z12" s="77">
        <f t="shared" si="28"/>
        <v>917.84</v>
      </c>
      <c r="AA12" s="77">
        <f t="shared" si="29"/>
        <v>8344</v>
      </c>
      <c r="AB12" s="77">
        <f t="shared" si="30"/>
        <v>9261.84</v>
      </c>
      <c r="AC12" s="77"/>
      <c r="AD12" s="77">
        <v>250</v>
      </c>
      <c r="AE12" s="77">
        <v>0</v>
      </c>
      <c r="AF12" s="80">
        <f t="shared" si="31"/>
        <v>1235.0892240000003</v>
      </c>
      <c r="AG12" s="77">
        <f t="shared" si="32"/>
        <v>1235.08</v>
      </c>
      <c r="AH12" s="81">
        <f t="shared" si="33"/>
        <v>0</v>
      </c>
      <c r="AI12" s="81">
        <f t="shared" si="34"/>
        <v>7776.76</v>
      </c>
      <c r="AJ12" s="70"/>
      <c r="AK12" s="40">
        <v>4</v>
      </c>
      <c r="AM12" s="87"/>
    </row>
    <row r="13" spans="1:41" s="40" customFormat="1" ht="36" customHeight="1">
      <c r="A13" s="100">
        <v>5</v>
      </c>
      <c r="B13" s="68">
        <v>1</v>
      </c>
      <c r="C13" s="68">
        <v>1</v>
      </c>
      <c r="D13" s="61" t="s">
        <v>373</v>
      </c>
      <c r="E13" s="144"/>
      <c r="F13" s="144"/>
      <c r="G13" s="63">
        <v>41183</v>
      </c>
      <c r="H13" s="102" t="s">
        <v>15</v>
      </c>
      <c r="I13" s="102"/>
      <c r="J13" s="102"/>
      <c r="K13" s="102"/>
      <c r="L13" s="102"/>
      <c r="M13" s="102"/>
      <c r="N13" s="102"/>
      <c r="O13" s="102"/>
      <c r="P13" s="69">
        <v>15</v>
      </c>
      <c r="Q13" s="69" t="s">
        <v>209</v>
      </c>
      <c r="R13" s="69"/>
      <c r="S13" s="70">
        <v>0</v>
      </c>
      <c r="T13" s="71">
        <v>0</v>
      </c>
      <c r="U13" s="76">
        <f t="shared" si="1"/>
        <v>556.26666666666665</v>
      </c>
      <c r="V13" s="77">
        <f t="shared" si="24"/>
        <v>8344</v>
      </c>
      <c r="W13" s="78">
        <f t="shared" si="25"/>
        <v>333.76</v>
      </c>
      <c r="X13" s="77">
        <f t="shared" si="26"/>
        <v>584.08000000000004</v>
      </c>
      <c r="Y13" s="79">
        <f t="shared" si="27"/>
        <v>0</v>
      </c>
      <c r="Z13" s="77">
        <f t="shared" si="28"/>
        <v>917.84</v>
      </c>
      <c r="AA13" s="77">
        <f t="shared" si="29"/>
        <v>8344</v>
      </c>
      <c r="AB13" s="77">
        <f t="shared" si="30"/>
        <v>9261.84</v>
      </c>
      <c r="AC13" s="77"/>
      <c r="AD13" s="77">
        <v>250</v>
      </c>
      <c r="AE13" s="77">
        <v>0</v>
      </c>
      <c r="AF13" s="80">
        <f t="shared" si="31"/>
        <v>1235.0892240000003</v>
      </c>
      <c r="AG13" s="77">
        <f t="shared" si="32"/>
        <v>1235.08</v>
      </c>
      <c r="AH13" s="81">
        <f t="shared" si="33"/>
        <v>0</v>
      </c>
      <c r="AI13" s="81">
        <f t="shared" si="34"/>
        <v>7776.76</v>
      </c>
      <c r="AJ13" s="70"/>
      <c r="AK13" s="40">
        <v>5</v>
      </c>
      <c r="AM13" s="87"/>
    </row>
    <row r="14" spans="1:41" s="40" customFormat="1" ht="36" customHeight="1">
      <c r="A14" s="100">
        <v>6</v>
      </c>
      <c r="B14" s="68">
        <v>1</v>
      </c>
      <c r="C14" s="68">
        <v>1</v>
      </c>
      <c r="D14" s="61" t="s">
        <v>366</v>
      </c>
      <c r="E14" s="144"/>
      <c r="F14" s="144"/>
      <c r="G14" s="63">
        <v>41183</v>
      </c>
      <c r="H14" s="102" t="s">
        <v>15</v>
      </c>
      <c r="I14" s="102"/>
      <c r="J14" s="102"/>
      <c r="K14" s="102"/>
      <c r="L14" s="102"/>
      <c r="M14" s="102"/>
      <c r="N14" s="102"/>
      <c r="O14" s="102"/>
      <c r="P14" s="69">
        <v>15</v>
      </c>
      <c r="Q14" s="69" t="s">
        <v>209</v>
      </c>
      <c r="R14" s="69"/>
      <c r="S14" s="70">
        <v>0</v>
      </c>
      <c r="T14" s="71">
        <v>0</v>
      </c>
      <c r="U14" s="76">
        <f t="shared" si="1"/>
        <v>556.26666666666665</v>
      </c>
      <c r="V14" s="77">
        <f t="shared" si="24"/>
        <v>8344</v>
      </c>
      <c r="W14" s="78">
        <f t="shared" si="25"/>
        <v>333.76</v>
      </c>
      <c r="X14" s="77">
        <f t="shared" si="26"/>
        <v>584.08000000000004</v>
      </c>
      <c r="Y14" s="79">
        <f t="shared" si="27"/>
        <v>0</v>
      </c>
      <c r="Z14" s="77">
        <f t="shared" si="28"/>
        <v>917.84</v>
      </c>
      <c r="AA14" s="77">
        <f t="shared" si="29"/>
        <v>8344</v>
      </c>
      <c r="AB14" s="77">
        <f t="shared" si="30"/>
        <v>9261.84</v>
      </c>
      <c r="AC14" s="77"/>
      <c r="AD14" s="77"/>
      <c r="AE14" s="77">
        <v>0</v>
      </c>
      <c r="AF14" s="80">
        <f t="shared" si="31"/>
        <v>1235.0892240000003</v>
      </c>
      <c r="AG14" s="77">
        <f t="shared" si="32"/>
        <v>1235.08</v>
      </c>
      <c r="AH14" s="81">
        <f t="shared" si="33"/>
        <v>0</v>
      </c>
      <c r="AI14" s="81">
        <f t="shared" si="34"/>
        <v>8026.76</v>
      </c>
      <c r="AJ14" s="70"/>
      <c r="AK14" s="40">
        <v>6</v>
      </c>
      <c r="AM14" s="87"/>
    </row>
    <row r="15" spans="1:41" s="40" customFormat="1" ht="36" customHeight="1">
      <c r="A15" s="100">
        <v>7</v>
      </c>
      <c r="B15" s="68">
        <v>1</v>
      </c>
      <c r="C15" s="68">
        <v>1</v>
      </c>
      <c r="D15" s="61" t="s">
        <v>368</v>
      </c>
      <c r="E15" s="144"/>
      <c r="F15" s="144"/>
      <c r="G15" s="63">
        <v>41183</v>
      </c>
      <c r="H15" s="102" t="s">
        <v>15</v>
      </c>
      <c r="I15" s="102"/>
      <c r="J15" s="102"/>
      <c r="K15" s="102"/>
      <c r="L15" s="102"/>
      <c r="M15" s="102"/>
      <c r="N15" s="102"/>
      <c r="O15" s="102"/>
      <c r="P15" s="69">
        <v>15</v>
      </c>
      <c r="Q15" s="69" t="s">
        <v>209</v>
      </c>
      <c r="R15" s="69"/>
      <c r="S15" s="70">
        <v>0</v>
      </c>
      <c r="T15" s="71">
        <v>0</v>
      </c>
      <c r="U15" s="76">
        <f t="shared" si="1"/>
        <v>556.26666666666665</v>
      </c>
      <c r="V15" s="77">
        <f t="shared" si="24"/>
        <v>8344</v>
      </c>
      <c r="W15" s="78">
        <f t="shared" si="25"/>
        <v>333.76</v>
      </c>
      <c r="X15" s="77">
        <f t="shared" si="26"/>
        <v>584.08000000000004</v>
      </c>
      <c r="Y15" s="79">
        <f t="shared" si="27"/>
        <v>0</v>
      </c>
      <c r="Z15" s="77">
        <f t="shared" si="28"/>
        <v>917.84</v>
      </c>
      <c r="AA15" s="77">
        <f t="shared" si="29"/>
        <v>8344</v>
      </c>
      <c r="AB15" s="77">
        <f t="shared" si="30"/>
        <v>9261.84</v>
      </c>
      <c r="AC15" s="77"/>
      <c r="AD15" s="77"/>
      <c r="AE15" s="77"/>
      <c r="AF15" s="80">
        <f t="shared" si="31"/>
        <v>1235.0892240000003</v>
      </c>
      <c r="AG15" s="77">
        <f t="shared" si="32"/>
        <v>1235.08</v>
      </c>
      <c r="AH15" s="81">
        <f t="shared" si="33"/>
        <v>0</v>
      </c>
      <c r="AI15" s="81">
        <f t="shared" si="34"/>
        <v>8026.76</v>
      </c>
      <c r="AJ15" s="70"/>
      <c r="AK15" s="40">
        <v>7</v>
      </c>
      <c r="AM15" s="87"/>
    </row>
    <row r="16" spans="1:41" s="40" customFormat="1" ht="36" customHeight="1">
      <c r="A16" s="100">
        <v>8</v>
      </c>
      <c r="B16" s="68">
        <v>1</v>
      </c>
      <c r="C16" s="68">
        <v>1</v>
      </c>
      <c r="D16" s="61" t="s">
        <v>374</v>
      </c>
      <c r="E16" s="144"/>
      <c r="F16" s="144"/>
      <c r="G16" s="63">
        <v>41183</v>
      </c>
      <c r="H16" s="102" t="s">
        <v>15</v>
      </c>
      <c r="I16" s="102"/>
      <c r="J16" s="102"/>
      <c r="K16" s="102"/>
      <c r="L16" s="102"/>
      <c r="M16" s="102"/>
      <c r="N16" s="102"/>
      <c r="O16" s="102"/>
      <c r="P16" s="69">
        <v>15</v>
      </c>
      <c r="Q16" s="69" t="s">
        <v>209</v>
      </c>
      <c r="R16" s="69"/>
      <c r="S16" s="70">
        <v>0</v>
      </c>
      <c r="T16" s="71">
        <v>0</v>
      </c>
      <c r="U16" s="76">
        <f t="shared" si="1"/>
        <v>556.26666666666665</v>
      </c>
      <c r="V16" s="77">
        <f t="shared" si="24"/>
        <v>8344</v>
      </c>
      <c r="W16" s="78">
        <f t="shared" si="25"/>
        <v>333.76</v>
      </c>
      <c r="X16" s="77">
        <f t="shared" si="26"/>
        <v>584.08000000000004</v>
      </c>
      <c r="Y16" s="79">
        <f t="shared" si="27"/>
        <v>0</v>
      </c>
      <c r="Z16" s="77">
        <f t="shared" si="28"/>
        <v>917.84</v>
      </c>
      <c r="AA16" s="77">
        <f t="shared" si="29"/>
        <v>8344</v>
      </c>
      <c r="AB16" s="77">
        <f t="shared" si="30"/>
        <v>9261.84</v>
      </c>
      <c r="AC16" s="77"/>
      <c r="AD16" s="77"/>
      <c r="AE16" s="77"/>
      <c r="AF16" s="80">
        <f t="shared" si="31"/>
        <v>1235.0892240000003</v>
      </c>
      <c r="AG16" s="77">
        <f t="shared" si="32"/>
        <v>1235.08</v>
      </c>
      <c r="AH16" s="81">
        <f t="shared" si="33"/>
        <v>0</v>
      </c>
      <c r="AI16" s="81">
        <f t="shared" si="34"/>
        <v>8026.76</v>
      </c>
      <c r="AJ16" s="70"/>
      <c r="AK16" s="40">
        <v>8</v>
      </c>
      <c r="AM16" s="87"/>
    </row>
    <row r="17" spans="1:39" s="40" customFormat="1" ht="36" customHeight="1">
      <c r="A17" s="100">
        <v>9</v>
      </c>
      <c r="B17" s="146">
        <v>1</v>
      </c>
      <c r="C17" s="68">
        <v>1</v>
      </c>
      <c r="D17" s="61" t="s">
        <v>193</v>
      </c>
      <c r="E17" s="144"/>
      <c r="F17" s="144"/>
      <c r="G17" s="63">
        <v>41183</v>
      </c>
      <c r="H17" s="102" t="s">
        <v>15</v>
      </c>
      <c r="I17" s="102"/>
      <c r="J17" s="102"/>
      <c r="K17" s="102"/>
      <c r="L17" s="102"/>
      <c r="M17" s="102"/>
      <c r="N17" s="102"/>
      <c r="O17" s="102"/>
      <c r="P17" s="69">
        <v>15</v>
      </c>
      <c r="Q17" s="69" t="s">
        <v>209</v>
      </c>
      <c r="R17" s="69"/>
      <c r="S17" s="70">
        <v>0</v>
      </c>
      <c r="T17" s="71">
        <v>0</v>
      </c>
      <c r="U17" s="76">
        <f t="shared" si="1"/>
        <v>556.26666666666665</v>
      </c>
      <c r="V17" s="77">
        <f t="shared" si="24"/>
        <v>8344</v>
      </c>
      <c r="W17" s="78">
        <f t="shared" si="25"/>
        <v>333.76</v>
      </c>
      <c r="X17" s="77">
        <f t="shared" si="26"/>
        <v>584.08000000000004</v>
      </c>
      <c r="Y17" s="79">
        <f t="shared" si="27"/>
        <v>0</v>
      </c>
      <c r="Z17" s="77">
        <f t="shared" si="28"/>
        <v>917.84</v>
      </c>
      <c r="AA17" s="77">
        <f t="shared" si="29"/>
        <v>8344</v>
      </c>
      <c r="AB17" s="77">
        <f t="shared" si="30"/>
        <v>9261.84</v>
      </c>
      <c r="AC17" s="77"/>
      <c r="AD17" s="77">
        <v>0</v>
      </c>
      <c r="AE17" s="77"/>
      <c r="AF17" s="80">
        <f t="shared" si="31"/>
        <v>1235.0892240000003</v>
      </c>
      <c r="AG17" s="77">
        <f t="shared" si="32"/>
        <v>1235.08</v>
      </c>
      <c r="AH17" s="81">
        <f t="shared" si="33"/>
        <v>0</v>
      </c>
      <c r="AI17" s="81">
        <f t="shared" si="34"/>
        <v>8026.76</v>
      </c>
      <c r="AJ17" s="70"/>
      <c r="AK17" s="40">
        <v>9</v>
      </c>
      <c r="AM17" s="87"/>
    </row>
    <row r="18" spans="1:39" s="40" customFormat="1" ht="12.75">
      <c r="A18" s="100"/>
      <c r="B18" s="147"/>
      <c r="C18" s="147"/>
      <c r="D18" s="58" t="s">
        <v>17</v>
      </c>
      <c r="E18" s="43"/>
      <c r="F18" s="43"/>
      <c r="G18" s="44"/>
      <c r="H18" s="92"/>
      <c r="I18" s="92"/>
      <c r="J18" s="92"/>
      <c r="K18" s="92"/>
      <c r="L18" s="92"/>
      <c r="M18" s="92"/>
      <c r="N18" s="92"/>
      <c r="O18" s="92"/>
      <c r="P18" s="49"/>
      <c r="Q18" s="49"/>
      <c r="R18" s="49"/>
      <c r="S18" s="50"/>
      <c r="T18" s="51"/>
      <c r="U18" s="93"/>
      <c r="V18" s="94">
        <f>SUM(V9:V17)</f>
        <v>75096</v>
      </c>
      <c r="W18" s="94">
        <f t="shared" ref="W18:AJ18" si="35">SUM(W9:W17)</f>
        <v>3003.84</v>
      </c>
      <c r="X18" s="94">
        <f t="shared" si="35"/>
        <v>5256.72</v>
      </c>
      <c r="Y18" s="94">
        <f t="shared" si="35"/>
        <v>0</v>
      </c>
      <c r="Z18" s="94">
        <f t="shared" si="35"/>
        <v>8260.56</v>
      </c>
      <c r="AA18" s="94">
        <f t="shared" si="35"/>
        <v>75096</v>
      </c>
      <c r="AB18" s="94">
        <f t="shared" si="35"/>
        <v>83356.559999999983</v>
      </c>
      <c r="AC18" s="94">
        <f t="shared" si="35"/>
        <v>0</v>
      </c>
      <c r="AD18" s="94">
        <f t="shared" si="35"/>
        <v>1000</v>
      </c>
      <c r="AE18" s="94">
        <f t="shared" si="35"/>
        <v>0</v>
      </c>
      <c r="AF18" s="94">
        <f t="shared" si="35"/>
        <v>11115.803016000002</v>
      </c>
      <c r="AG18" s="94">
        <f t="shared" si="35"/>
        <v>11115.72</v>
      </c>
      <c r="AH18" s="94">
        <f t="shared" si="35"/>
        <v>0</v>
      </c>
      <c r="AI18" s="94">
        <f t="shared" si="35"/>
        <v>71240.840000000011</v>
      </c>
      <c r="AJ18" s="94">
        <f t="shared" si="35"/>
        <v>0</v>
      </c>
    </row>
    <row r="19" spans="1:39" s="40" customFormat="1">
      <c r="A19" s="100"/>
      <c r="B19" s="147"/>
      <c r="C19" s="147"/>
      <c r="D19" s="122"/>
      <c r="E19" s="43"/>
      <c r="F19" s="43"/>
      <c r="G19" s="44"/>
      <c r="H19" s="92"/>
      <c r="I19" s="92"/>
      <c r="J19" s="92"/>
      <c r="K19" s="92"/>
      <c r="L19" s="92"/>
      <c r="M19" s="92"/>
      <c r="N19" s="92"/>
      <c r="O19" s="92"/>
      <c r="P19" s="49"/>
      <c r="Q19" s="49"/>
      <c r="R19" s="49"/>
      <c r="S19" s="50"/>
      <c r="T19" s="51"/>
      <c r="U19" s="93"/>
      <c r="V19" s="83"/>
      <c r="W19" s="148"/>
      <c r="X19" s="83"/>
      <c r="Y19" s="139"/>
      <c r="Z19" s="83"/>
      <c r="AA19" s="83"/>
      <c r="AB19" s="83"/>
      <c r="AC19" s="83"/>
      <c r="AD19" s="83"/>
      <c r="AE19" s="83"/>
      <c r="AF19" s="87"/>
      <c r="AG19" s="83"/>
      <c r="AH19" s="149"/>
      <c r="AI19" s="149"/>
      <c r="AJ19" s="50"/>
    </row>
    <row r="20" spans="1:39" s="40" customFormat="1" ht="12.75">
      <c r="A20" s="100"/>
      <c r="B20" s="147"/>
      <c r="C20" s="147"/>
      <c r="D20" s="91" t="s">
        <v>22</v>
      </c>
      <c r="E20" s="43"/>
      <c r="F20" s="43"/>
      <c r="G20" s="44"/>
      <c r="H20" s="92"/>
      <c r="I20" s="92"/>
      <c r="J20" s="92"/>
      <c r="K20" s="92"/>
      <c r="L20" s="92"/>
      <c r="M20" s="92"/>
      <c r="N20" s="92"/>
      <c r="O20" s="92"/>
      <c r="P20" s="49"/>
      <c r="Q20" s="49"/>
      <c r="R20" s="49"/>
      <c r="S20" s="50"/>
      <c r="T20" s="51"/>
      <c r="U20" s="93"/>
      <c r="V20" s="83"/>
      <c r="W20" s="148"/>
      <c r="X20" s="83"/>
      <c r="Y20" s="139"/>
      <c r="Z20" s="83"/>
      <c r="AA20" s="83"/>
      <c r="AB20" s="83"/>
      <c r="AC20" s="83"/>
      <c r="AD20" s="83"/>
      <c r="AE20" s="83"/>
      <c r="AF20" s="87"/>
      <c r="AG20" s="83"/>
      <c r="AH20" s="149"/>
      <c r="AI20" s="149"/>
      <c r="AJ20" s="50"/>
    </row>
    <row r="21" spans="1:39" s="40" customFormat="1" ht="36" customHeight="1">
      <c r="A21" s="100">
        <v>10</v>
      </c>
      <c r="B21" s="68"/>
      <c r="C21" s="68"/>
      <c r="D21" s="61" t="s">
        <v>375</v>
      </c>
      <c r="E21" s="62"/>
      <c r="F21" s="62"/>
      <c r="G21" s="63"/>
      <c r="H21" s="98" t="s">
        <v>20</v>
      </c>
      <c r="I21" s="98"/>
      <c r="J21" s="98"/>
      <c r="K21" s="98"/>
      <c r="L21" s="98"/>
      <c r="M21" s="98"/>
      <c r="N21" s="98"/>
      <c r="O21" s="98"/>
      <c r="P21" s="69">
        <v>15</v>
      </c>
      <c r="Q21" s="69" t="s">
        <v>209</v>
      </c>
      <c r="R21" s="69"/>
      <c r="S21" s="70">
        <v>0</v>
      </c>
      <c r="T21" s="71">
        <v>0</v>
      </c>
      <c r="U21" s="76">
        <f>29592/30</f>
        <v>986.4</v>
      </c>
      <c r="V21" s="77">
        <f>TRUNC(U21*P21,2)</f>
        <v>14796</v>
      </c>
      <c r="W21" s="78">
        <f>TRUNC(U21*P21*0.04,2)</f>
        <v>591.84</v>
      </c>
      <c r="X21" s="77">
        <f>TRUNC(U21*0.07*P21,2)</f>
        <v>1035.72</v>
      </c>
      <c r="Y21" s="79">
        <f>S21</f>
        <v>0</v>
      </c>
      <c r="Z21" s="77">
        <f>TRUNC(X21+W21+(IF(Y21&gt;519,519,Y21))+IF(R21=0,0,R21*U21),2)</f>
        <v>1627.56</v>
      </c>
      <c r="AA21" s="77">
        <f>TRUNC((IF(R21=0,P21*U21,(P21-R21)*U21))+(IF(Y21&lt;519,0,Y21-519)),2)+T21</f>
        <v>14796</v>
      </c>
      <c r="AB21" s="77">
        <f>Z21+AA21</f>
        <v>16423.560000000001</v>
      </c>
      <c r="AC21" s="77"/>
      <c r="AD21" s="77">
        <v>1000</v>
      </c>
      <c r="AE21" s="77">
        <v>0</v>
      </c>
      <c r="AF21" s="80">
        <f>IF(U21&gt;0.01,(AA21-VLOOKUP(AA21,quincenal,1))*VLOOKUP(AA21,quincenal,3)+VLOOKUP(AA21,quincenal,2)-VLOOKUP(AA21,subquincenal,2),0)</f>
        <v>2711.331408</v>
      </c>
      <c r="AG21" s="77">
        <f>TRUNC(IF(AF21&gt;0.01,AF21,0),2)</f>
        <v>2711.33</v>
      </c>
      <c r="AH21" s="81">
        <f>TRUNC(IF(AF21&lt;0.01,-AF21,0),2)</f>
        <v>0</v>
      </c>
      <c r="AI21" s="81">
        <f>AB21-AD21-AE21-AG21+AH21</f>
        <v>12712.230000000001</v>
      </c>
      <c r="AJ21" s="70"/>
      <c r="AK21" s="40">
        <v>10</v>
      </c>
      <c r="AM21" s="87"/>
    </row>
    <row r="22" spans="1:39" s="40" customFormat="1" ht="36" customHeight="1">
      <c r="A22" s="100">
        <v>11</v>
      </c>
      <c r="B22" s="68"/>
      <c r="C22" s="68"/>
      <c r="D22" s="120" t="s">
        <v>385</v>
      </c>
      <c r="E22" s="97" t="s">
        <v>307</v>
      </c>
      <c r="F22" s="97" t="s">
        <v>308</v>
      </c>
      <c r="G22" s="63"/>
      <c r="H22" s="98" t="s">
        <v>376</v>
      </c>
      <c r="I22" s="98"/>
      <c r="J22" s="98"/>
      <c r="K22" s="98"/>
      <c r="L22" s="98"/>
      <c r="M22" s="98"/>
      <c r="N22" s="98"/>
      <c r="O22" s="98"/>
      <c r="P22" s="69">
        <v>15</v>
      </c>
      <c r="Q22" s="69" t="s">
        <v>209</v>
      </c>
      <c r="R22" s="69"/>
      <c r="S22" s="70">
        <v>0</v>
      </c>
      <c r="T22" s="71">
        <v>0</v>
      </c>
      <c r="U22" s="76">
        <f>12653/30</f>
        <v>421.76666666666665</v>
      </c>
      <c r="V22" s="77">
        <f>TRUNC(U22*P22,2)</f>
        <v>6326.5</v>
      </c>
      <c r="W22" s="78">
        <f>TRUNC(U22*P22*0.04,2)</f>
        <v>253.06</v>
      </c>
      <c r="X22" s="77">
        <f>TRUNC(U22*0.07*P22,2)</f>
        <v>442.85</v>
      </c>
      <c r="Y22" s="79">
        <f>S22</f>
        <v>0</v>
      </c>
      <c r="Z22" s="77">
        <f>TRUNC(X22+W22+(IF(Y22&gt;519,519,Y22))+IF(R22=0,0,R22*U22),2)</f>
        <v>695.91</v>
      </c>
      <c r="AA22" s="77">
        <f>TRUNC((IF(R22=0,P22*U22,(P22-R22)*U22))+(IF(Y22&lt;519,0,Y22-519)),2)+T22</f>
        <v>6326.5</v>
      </c>
      <c r="AB22" s="77">
        <f>Z22+AA22</f>
        <v>7022.41</v>
      </c>
      <c r="AC22" s="77"/>
      <c r="AD22" s="77"/>
      <c r="AE22" s="77">
        <v>0</v>
      </c>
      <c r="AF22" s="80">
        <f>IF(U22&gt;0.01,(AA22-VLOOKUP(AA22,quincenal,1))*VLOOKUP(AA22,quincenal,3)+VLOOKUP(AA22,quincenal,2)-VLOOKUP(AA22,subquincenal,2),0)</f>
        <v>804.15122400000007</v>
      </c>
      <c r="AG22" s="77">
        <f>TRUNC(IF(AF22&gt;0.01,AF22,0),2)</f>
        <v>804.15</v>
      </c>
      <c r="AH22" s="81">
        <f>TRUNC(IF(AF22&lt;0.01,-AF22,0),2)</f>
        <v>0</v>
      </c>
      <c r="AI22" s="81">
        <f>AB22-AD22-AE22-AG22+AH22</f>
        <v>6218.26</v>
      </c>
      <c r="AJ22" s="70"/>
      <c r="AK22" s="40">
        <v>11</v>
      </c>
      <c r="AM22" s="87"/>
    </row>
    <row r="23" spans="1:39" s="40" customFormat="1" ht="36" customHeight="1">
      <c r="A23" s="100">
        <v>12</v>
      </c>
      <c r="B23" s="68"/>
      <c r="C23" s="68"/>
      <c r="D23" s="120" t="s">
        <v>217</v>
      </c>
      <c r="E23" s="97" t="s">
        <v>307</v>
      </c>
      <c r="F23" s="97" t="s">
        <v>308</v>
      </c>
      <c r="G23" s="63"/>
      <c r="H23" s="102" t="s">
        <v>19</v>
      </c>
      <c r="I23" s="102"/>
      <c r="J23" s="102"/>
      <c r="K23" s="102"/>
      <c r="L23" s="102"/>
      <c r="M23" s="102"/>
      <c r="N23" s="102"/>
      <c r="O23" s="102"/>
      <c r="P23" s="69">
        <v>15</v>
      </c>
      <c r="Q23" s="69" t="s">
        <v>209</v>
      </c>
      <c r="R23" s="69"/>
      <c r="S23" s="70">
        <v>0</v>
      </c>
      <c r="T23" s="71">
        <v>0</v>
      </c>
      <c r="U23" s="76">
        <f>8121/30</f>
        <v>270.7</v>
      </c>
      <c r="V23" s="77">
        <f>TRUNC(U23*P23,2)</f>
        <v>4060.5</v>
      </c>
      <c r="W23" s="78">
        <f>TRUNC(U23*P23*0.04,2)</f>
        <v>162.41999999999999</v>
      </c>
      <c r="X23" s="77">
        <f>TRUNC(U23*0.07*P23,2)</f>
        <v>284.23</v>
      </c>
      <c r="Y23" s="79">
        <f>S23</f>
        <v>0</v>
      </c>
      <c r="Z23" s="77">
        <f>TRUNC(X23+W23+(IF(Y23&gt;519,519,Y23))+IF(R23=0,0,R23*U23),2)</f>
        <v>446.65</v>
      </c>
      <c r="AA23" s="77">
        <f>TRUNC((IF(R23=0,P23*U23,(P23-R23)*U23))+(IF(Y23&lt;519,0,Y23-519)),2)+T23</f>
        <v>4060.5</v>
      </c>
      <c r="AB23" s="77">
        <f>Z23+AA23</f>
        <v>4507.1499999999996</v>
      </c>
      <c r="AC23" s="77"/>
      <c r="AD23" s="77"/>
      <c r="AE23" s="77">
        <v>0</v>
      </c>
      <c r="AF23" s="80">
        <f>IF(U23&gt;0.01,(AA23-VLOOKUP(AA23,quincenal,1))*VLOOKUP(AA23,quincenal,3)+VLOOKUP(AA23,quincenal,2)-VLOOKUP(AA23,subquincenal,2),0)</f>
        <v>358.76839999999999</v>
      </c>
      <c r="AG23" s="77">
        <f>TRUNC(IF(AF23&gt;0.01,AF23,0),2)</f>
        <v>358.76</v>
      </c>
      <c r="AH23" s="81">
        <f>TRUNC(IF(AF23&lt;0.01,-AF23,0),2)</f>
        <v>0</v>
      </c>
      <c r="AI23" s="81">
        <f>AB23-AD23-AE23-AG23+AH23</f>
        <v>4148.3899999999994</v>
      </c>
      <c r="AJ23" s="70"/>
      <c r="AK23" s="40">
        <v>12</v>
      </c>
      <c r="AM23" s="87"/>
    </row>
    <row r="24" spans="1:39" s="40" customFormat="1" ht="12.75">
      <c r="A24" s="100"/>
      <c r="B24" s="147"/>
      <c r="C24" s="147"/>
      <c r="D24" s="91" t="s">
        <v>22</v>
      </c>
      <c r="E24" s="43"/>
      <c r="F24" s="43"/>
      <c r="G24" s="44"/>
      <c r="H24" s="92"/>
      <c r="I24" s="92"/>
      <c r="J24" s="92"/>
      <c r="K24" s="92"/>
      <c r="L24" s="92"/>
      <c r="M24" s="92"/>
      <c r="N24" s="92"/>
      <c r="O24" s="92"/>
      <c r="P24" s="49"/>
      <c r="Q24" s="49"/>
      <c r="R24" s="49"/>
      <c r="S24" s="50"/>
      <c r="T24" s="51"/>
      <c r="U24" s="93"/>
      <c r="V24" s="94">
        <f>SUM(V21:V23)</f>
        <v>25183</v>
      </c>
      <c r="W24" s="94">
        <f t="shared" ref="W24:AI24" si="36">SUM(W21:W23)</f>
        <v>1007.32</v>
      </c>
      <c r="X24" s="94">
        <f t="shared" si="36"/>
        <v>1762.8000000000002</v>
      </c>
      <c r="Y24" s="94">
        <f t="shared" si="36"/>
        <v>0</v>
      </c>
      <c r="Z24" s="94">
        <f t="shared" si="36"/>
        <v>2770.12</v>
      </c>
      <c r="AA24" s="94">
        <f t="shared" si="36"/>
        <v>25183</v>
      </c>
      <c r="AB24" s="94">
        <f t="shared" si="36"/>
        <v>27953.120000000003</v>
      </c>
      <c r="AC24" s="94">
        <f t="shared" si="36"/>
        <v>0</v>
      </c>
      <c r="AD24" s="94">
        <f t="shared" si="36"/>
        <v>1000</v>
      </c>
      <c r="AE24" s="94">
        <f t="shared" si="36"/>
        <v>0</v>
      </c>
      <c r="AF24" s="94">
        <f t="shared" si="36"/>
        <v>3874.2510320000001</v>
      </c>
      <c r="AG24" s="94">
        <f t="shared" si="36"/>
        <v>3874.24</v>
      </c>
      <c r="AH24" s="94">
        <f t="shared" si="36"/>
        <v>0</v>
      </c>
      <c r="AI24" s="94">
        <f t="shared" si="36"/>
        <v>23078.880000000001</v>
      </c>
      <c r="AJ24" s="50"/>
    </row>
    <row r="25" spans="1:39" s="40" customFormat="1">
      <c r="A25" s="100"/>
      <c r="B25" s="147"/>
      <c r="C25" s="147"/>
      <c r="D25" s="122"/>
      <c r="E25" s="43"/>
      <c r="F25" s="43"/>
      <c r="G25" s="44"/>
      <c r="H25" s="92"/>
      <c r="I25" s="92"/>
      <c r="J25" s="92"/>
      <c r="K25" s="92"/>
      <c r="L25" s="92"/>
      <c r="M25" s="92"/>
      <c r="N25" s="92"/>
      <c r="O25" s="92"/>
      <c r="P25" s="49"/>
      <c r="Q25" s="49"/>
      <c r="R25" s="49"/>
      <c r="S25" s="50"/>
      <c r="T25" s="51"/>
      <c r="U25" s="93"/>
      <c r="V25" s="83"/>
      <c r="W25" s="148"/>
      <c r="X25" s="83"/>
      <c r="Y25" s="139"/>
      <c r="Z25" s="83"/>
      <c r="AA25" s="83"/>
      <c r="AB25" s="83"/>
      <c r="AC25" s="83"/>
      <c r="AD25" s="83"/>
      <c r="AE25" s="83"/>
      <c r="AF25" s="87"/>
      <c r="AG25" s="83"/>
      <c r="AH25" s="149"/>
      <c r="AI25" s="149"/>
      <c r="AJ25" s="50"/>
    </row>
    <row r="26" spans="1:39" s="40" customFormat="1" ht="12.75">
      <c r="A26" s="100"/>
      <c r="B26" s="147"/>
      <c r="C26" s="147"/>
      <c r="D26" s="91" t="s">
        <v>25</v>
      </c>
      <c r="E26" s="43"/>
      <c r="F26" s="43"/>
      <c r="G26" s="44"/>
      <c r="H26" s="92"/>
      <c r="I26" s="92"/>
      <c r="J26" s="92"/>
      <c r="K26" s="92"/>
      <c r="L26" s="92"/>
      <c r="M26" s="92"/>
      <c r="N26" s="92"/>
      <c r="O26" s="92"/>
      <c r="P26" s="49"/>
      <c r="Q26" s="49"/>
      <c r="R26" s="49"/>
      <c r="S26" s="50"/>
      <c r="T26" s="51"/>
      <c r="U26" s="93"/>
      <c r="V26" s="83"/>
      <c r="W26" s="148"/>
      <c r="X26" s="83"/>
      <c r="Y26" s="139"/>
      <c r="Z26" s="83"/>
      <c r="AA26" s="83"/>
      <c r="AB26" s="83"/>
      <c r="AC26" s="83"/>
      <c r="AD26" s="83"/>
      <c r="AE26" s="83"/>
      <c r="AF26" s="87"/>
      <c r="AG26" s="83"/>
      <c r="AH26" s="149"/>
      <c r="AI26" s="149"/>
      <c r="AJ26" s="50"/>
    </row>
    <row r="27" spans="1:39" s="40" customFormat="1" ht="36" customHeight="1">
      <c r="A27" s="100">
        <v>13</v>
      </c>
      <c r="B27" s="68">
        <v>1</v>
      </c>
      <c r="C27" s="68">
        <v>5</v>
      </c>
      <c r="D27" s="61" t="s">
        <v>378</v>
      </c>
      <c r="E27" s="62"/>
      <c r="F27" s="62"/>
      <c r="G27" s="63"/>
      <c r="H27" s="150" t="s">
        <v>23</v>
      </c>
      <c r="I27" s="150"/>
      <c r="J27" s="150"/>
      <c r="K27" s="150"/>
      <c r="L27" s="150"/>
      <c r="M27" s="150"/>
      <c r="N27" s="150"/>
      <c r="O27" s="150"/>
      <c r="P27" s="69">
        <v>15</v>
      </c>
      <c r="Q27" s="69" t="s">
        <v>209</v>
      </c>
      <c r="R27" s="69"/>
      <c r="S27" s="70">
        <v>0</v>
      </c>
      <c r="T27" s="71">
        <v>0</v>
      </c>
      <c r="U27" s="76">
        <f>21439/30</f>
        <v>714.63333333333333</v>
      </c>
      <c r="V27" s="77">
        <f>TRUNC(U27*P27,2)</f>
        <v>10719.5</v>
      </c>
      <c r="W27" s="78">
        <f>TRUNC(U27*P27*0.04,2)</f>
        <v>428.78</v>
      </c>
      <c r="X27" s="77">
        <f>TRUNC(U27*0.07*P27,2)</f>
        <v>750.36</v>
      </c>
      <c r="Y27" s="79">
        <f>S27</f>
        <v>0</v>
      </c>
      <c r="Z27" s="77">
        <f>TRUNC(X27+W27+(IF(Y27&gt;519,519,Y27))+IF(R27=0,0,R27*U27),2)</f>
        <v>1179.1400000000001</v>
      </c>
      <c r="AA27" s="77">
        <f>TRUNC((IF(R27=0,P27*U27,(P27-R27)*U27))+(IF(Y27&lt;519,0,Y27-519)),2)+T27</f>
        <v>10719.5</v>
      </c>
      <c r="AB27" s="77">
        <f>Z27+AA27</f>
        <v>11898.64</v>
      </c>
      <c r="AC27" s="77"/>
      <c r="AD27" s="77">
        <v>500</v>
      </c>
      <c r="AE27" s="77">
        <v>0</v>
      </c>
      <c r="AF27" s="80">
        <f>IF(U27&gt;0.01,(AA27-VLOOKUP(AA27,quincenal,1))*VLOOKUP(AA27,quincenal,3)+VLOOKUP(AA27,quincenal,2)-VLOOKUP(AA27,subquincenal,2),0)</f>
        <v>1752.5386080000003</v>
      </c>
      <c r="AG27" s="77">
        <f>TRUNC(IF(AF27&gt;0.01,AF27,0),2)</f>
        <v>1752.53</v>
      </c>
      <c r="AH27" s="81">
        <f>TRUNC(IF(AF27&lt;0.01,-AF27,0),2)</f>
        <v>0</v>
      </c>
      <c r="AI27" s="81">
        <f>AB27-AD27-AE27-AG27+AH27</f>
        <v>9646.1099999999988</v>
      </c>
      <c r="AJ27" s="70"/>
      <c r="AK27" s="40">
        <v>14</v>
      </c>
      <c r="AM27" s="87"/>
    </row>
    <row r="28" spans="1:39" s="40" customFormat="1" ht="36" customHeight="1">
      <c r="A28" s="100">
        <v>14</v>
      </c>
      <c r="B28" s="68"/>
      <c r="C28" s="68"/>
      <c r="D28" s="61" t="s">
        <v>388</v>
      </c>
      <c r="E28" s="144"/>
      <c r="F28" s="144"/>
      <c r="G28" s="63"/>
      <c r="H28" s="128" t="s">
        <v>490</v>
      </c>
      <c r="I28" s="128"/>
      <c r="J28" s="128"/>
      <c r="K28" s="128"/>
      <c r="L28" s="128"/>
      <c r="M28" s="128"/>
      <c r="N28" s="128"/>
      <c r="O28" s="128"/>
      <c r="P28" s="69">
        <v>15</v>
      </c>
      <c r="Q28" s="69" t="s">
        <v>209</v>
      </c>
      <c r="R28" s="69"/>
      <c r="S28" s="70">
        <v>0</v>
      </c>
      <c r="T28" s="71">
        <v>0</v>
      </c>
      <c r="U28" s="76">
        <f>19266/30</f>
        <v>642.20000000000005</v>
      </c>
      <c r="V28" s="77">
        <f>TRUNC(U28*P28,2)</f>
        <v>9633</v>
      </c>
      <c r="W28" s="78">
        <f>TRUNC(U28*P28*0.04,2)</f>
        <v>385.32</v>
      </c>
      <c r="X28" s="77">
        <f>TRUNC(U28*0.07*P28,2)</f>
        <v>674.31</v>
      </c>
      <c r="Y28" s="79">
        <f>S28</f>
        <v>0</v>
      </c>
      <c r="Z28" s="77">
        <f>TRUNC(X28+W28+(IF(Y28&gt;519,519,Y28))+IF(R28=0,0,R28*U28),2)</f>
        <v>1059.6300000000001</v>
      </c>
      <c r="AA28" s="77">
        <f>TRUNC((IF(R28=0,P28*U28,(P28-R28)*U28))+(IF(Y28&lt;519,0,Y28-519)),2)+T28</f>
        <v>9633</v>
      </c>
      <c r="AB28" s="77">
        <f>Z28+AA28</f>
        <v>10692.630000000001</v>
      </c>
      <c r="AC28" s="77"/>
      <c r="AD28" s="77">
        <v>500</v>
      </c>
      <c r="AE28" s="77">
        <v>0</v>
      </c>
      <c r="AF28" s="80">
        <f>IF(U28&gt;0.01,(AA28-VLOOKUP(AA28,quincenal,1))*VLOOKUP(AA28,quincenal,3)+VLOOKUP(AA28,quincenal,2)-VLOOKUP(AA28,subquincenal,2),0)</f>
        <v>1510.4196240000001</v>
      </c>
      <c r="AG28" s="77">
        <f>TRUNC(IF(AF28&gt;0.01,AF28,0),2)</f>
        <v>1510.41</v>
      </c>
      <c r="AH28" s="81">
        <f>TRUNC(IF(AF28&lt;0.01,-AF28,0),2)</f>
        <v>0</v>
      </c>
      <c r="AI28" s="81">
        <f>AB28-AD28-AE28-AG28+AH28</f>
        <v>8682.2200000000012</v>
      </c>
      <c r="AJ28" s="70"/>
      <c r="AM28" s="87"/>
    </row>
    <row r="29" spans="1:39" s="40" customFormat="1" ht="36" customHeight="1">
      <c r="A29" s="100">
        <v>15</v>
      </c>
      <c r="B29" s="68"/>
      <c r="C29" s="68"/>
      <c r="D29" s="61" t="s">
        <v>494</v>
      </c>
      <c r="E29" s="144"/>
      <c r="F29" s="144"/>
      <c r="G29" s="63"/>
      <c r="H29" s="128" t="s">
        <v>495</v>
      </c>
      <c r="I29" s="128"/>
      <c r="J29" s="128"/>
      <c r="K29" s="128"/>
      <c r="L29" s="128"/>
      <c r="M29" s="128"/>
      <c r="N29" s="128"/>
      <c r="O29" s="128"/>
      <c r="P29" s="205">
        <v>15</v>
      </c>
      <c r="Q29" s="211" t="s">
        <v>209</v>
      </c>
      <c r="R29" s="206"/>
      <c r="S29" s="207">
        <v>0</v>
      </c>
      <c r="T29" s="208">
        <v>0</v>
      </c>
      <c r="U29" s="103">
        <v>113.977</v>
      </c>
      <c r="V29" s="79">
        <f t="shared" ref="V29" si="37">TRUNC(U29*P29,2)</f>
        <v>1709.65</v>
      </c>
      <c r="W29" s="135">
        <f t="shared" ref="W29" si="38">TRUNC(U29*P29*0.04,2)</f>
        <v>68.38</v>
      </c>
      <c r="X29" s="79">
        <f t="shared" ref="X29" si="39">TRUNC(U29*0.07*P29,2)</f>
        <v>119.67</v>
      </c>
      <c r="Y29" s="79">
        <f t="shared" ref="Y29" si="40">S29</f>
        <v>0</v>
      </c>
      <c r="Z29" s="79">
        <f t="shared" ref="Z29" si="41">TRUNC(X29+W29+(IF(Y29&gt;519,519,Y29))+IF(R29=0,0,R29*U29),2)</f>
        <v>188.05</v>
      </c>
      <c r="AA29" s="79">
        <f t="shared" ref="AA29" si="42">TRUNC((IF(R29=0,P29*U29,(P29-R29)*U29))+(IF(Y29&lt;519,0,Y29-519)),2)+T29</f>
        <v>1709.65</v>
      </c>
      <c r="AB29" s="79">
        <f t="shared" ref="AB29" si="43">Z29+AA29</f>
        <v>1897.7</v>
      </c>
      <c r="AC29" s="79"/>
      <c r="AD29" s="79"/>
      <c r="AE29" s="79">
        <v>0</v>
      </c>
      <c r="AF29" s="80">
        <f t="shared" ref="AF29" si="44">IF(U29&gt;0.01,(AA29-VLOOKUP(AA29,quincenal,1))*VLOOKUP(AA29,quincenal,3)+VLOOKUP(AA29,quincenal,2)-VLOOKUP(AA29,subquincenal,2),0)</f>
        <v>-102.30023999999997</v>
      </c>
      <c r="AG29" s="79">
        <f t="shared" ref="AG29" si="45">TRUNC(IF(AF29&gt;0.01,AF29,0),2)</f>
        <v>0</v>
      </c>
      <c r="AH29" s="136">
        <f t="shared" ref="AH29" si="46">TRUNC(IF(AF29&lt;0.01,-AF29,0),2)</f>
        <v>102.3</v>
      </c>
      <c r="AI29" s="136">
        <f t="shared" ref="AI29" si="47">AB29-AD29-AE29-AG29+AH29</f>
        <v>2000</v>
      </c>
      <c r="AJ29" s="132"/>
      <c r="AM29" s="87"/>
    </row>
    <row r="30" spans="1:39" s="40" customFormat="1" ht="36" customHeight="1">
      <c r="A30" s="100">
        <v>16</v>
      </c>
      <c r="B30" s="68"/>
      <c r="C30" s="68"/>
      <c r="D30" s="61" t="s">
        <v>354</v>
      </c>
      <c r="E30" s="62"/>
      <c r="F30" s="62"/>
      <c r="G30" s="151"/>
      <c r="H30" s="102" t="s">
        <v>259</v>
      </c>
      <c r="I30" s="102"/>
      <c r="J30" s="102"/>
      <c r="K30" s="102"/>
      <c r="L30" s="102"/>
      <c r="M30" s="102"/>
      <c r="N30" s="102"/>
      <c r="O30" s="102"/>
      <c r="P30" s="152">
        <v>15</v>
      </c>
      <c r="Q30" s="156" t="s">
        <v>209</v>
      </c>
      <c r="R30" s="157"/>
      <c r="S30" s="157">
        <v>0</v>
      </c>
      <c r="T30" s="157">
        <v>0</v>
      </c>
      <c r="U30" s="143">
        <f>8104/30</f>
        <v>270.13333333333333</v>
      </c>
      <c r="V30" s="79">
        <f>TRUNC(U30*P30,2)</f>
        <v>4052</v>
      </c>
      <c r="W30" s="135">
        <f>TRUNC(U30*P30*0.04,2)</f>
        <v>162.08000000000001</v>
      </c>
      <c r="X30" s="79">
        <f>TRUNC(U30*0.07*P30,2)</f>
        <v>283.64</v>
      </c>
      <c r="Y30" s="79">
        <f>S30</f>
        <v>0</v>
      </c>
      <c r="Z30" s="79">
        <f>TRUNC(X30+W30+(IF(Y30&gt;519,519,Y30))+IF(R30=0,0,R30*U30),2)</f>
        <v>445.72</v>
      </c>
      <c r="AA30" s="79">
        <f>TRUNC((IF(R30=0,P30*U30,(P30-R30)*U30))+(IF(Y30&lt;519,0,Y30-519)),2)+T30</f>
        <v>4052</v>
      </c>
      <c r="AB30" s="79">
        <f>Z30+AA30</f>
        <v>4497.72</v>
      </c>
      <c r="AC30" s="79"/>
      <c r="AD30" s="79"/>
      <c r="AE30" s="79">
        <v>0</v>
      </c>
      <c r="AF30" s="80">
        <f>IF(U30&gt;0.01,(AA30-VLOOKUP(AA30,quincenal,1))*VLOOKUP(AA30,quincenal,3)+VLOOKUP(AA30,quincenal,2)-VLOOKUP(AA30,subquincenal,2),0)</f>
        <v>357.40839999999997</v>
      </c>
      <c r="AG30" s="79">
        <f>TRUNC(IF(AF30&gt;0.01,AF30,0),2)</f>
        <v>357.4</v>
      </c>
      <c r="AH30" s="136">
        <f>TRUNC(IF(AF30&lt;0.01,-AF30,0),2)</f>
        <v>0</v>
      </c>
      <c r="AI30" s="136">
        <f>AB30-AD30-AE30-AG30+AH30</f>
        <v>4140.3200000000006</v>
      </c>
      <c r="AJ30" s="132"/>
      <c r="AK30" s="40">
        <v>16</v>
      </c>
      <c r="AM30" s="87"/>
    </row>
    <row r="31" spans="1:39" s="40" customFormat="1" ht="36" customHeight="1">
      <c r="A31" s="100">
        <v>17</v>
      </c>
      <c r="B31" s="68"/>
      <c r="C31" s="68"/>
      <c r="D31" s="61" t="s">
        <v>426</v>
      </c>
      <c r="E31" s="62"/>
      <c r="F31" s="62"/>
      <c r="G31" s="63"/>
      <c r="H31" s="128" t="s">
        <v>28</v>
      </c>
      <c r="I31" s="128"/>
      <c r="J31" s="128"/>
      <c r="K31" s="128"/>
      <c r="L31" s="128"/>
      <c r="M31" s="128"/>
      <c r="N31" s="128"/>
      <c r="O31" s="128"/>
      <c r="P31" s="69">
        <v>15</v>
      </c>
      <c r="Q31" s="69" t="s">
        <v>209</v>
      </c>
      <c r="R31" s="69"/>
      <c r="S31" s="70">
        <v>0</v>
      </c>
      <c r="T31" s="71">
        <v>0</v>
      </c>
      <c r="U31" s="76">
        <f>5714/30</f>
        <v>190.46666666666667</v>
      </c>
      <c r="V31" s="77">
        <f>TRUNC(U31*P31,2)</f>
        <v>2857</v>
      </c>
      <c r="W31" s="78">
        <f>TRUNC(U31*P31*0.04,2)</f>
        <v>114.28</v>
      </c>
      <c r="X31" s="77">
        <f>TRUNC(U31*0.07*P31,2)</f>
        <v>199.99</v>
      </c>
      <c r="Y31" s="79">
        <f>S31</f>
        <v>0</v>
      </c>
      <c r="Z31" s="77">
        <f>TRUNC(X31+W31+(IF(Y31&gt;519,519,Y31))+IF(R31=0,0,R31*U31),2)</f>
        <v>314.27</v>
      </c>
      <c r="AA31" s="77">
        <f>TRUNC((IF(R31=0,P31*U31,(P31-R31)*U31))+(IF(Y31&lt;519,0,Y31-519)),2)+T31</f>
        <v>2857</v>
      </c>
      <c r="AB31" s="77">
        <f>Z31+AA31</f>
        <v>3171.27</v>
      </c>
      <c r="AC31" s="77"/>
      <c r="AD31" s="77"/>
      <c r="AE31" s="77">
        <v>0</v>
      </c>
      <c r="AF31" s="80">
        <f>IF(U31&gt;0.01,(AA31-VLOOKUP(AA31,quincenal,1))*VLOOKUP(AA31,quincenal,3)+VLOOKUP(AA31,quincenal,2)-VLOOKUP(AA31,subquincenal,2),0)</f>
        <v>61.408511999999973</v>
      </c>
      <c r="AG31" s="77">
        <f>TRUNC(IF(AF31&gt;0.01,AF31,0),2)</f>
        <v>61.4</v>
      </c>
      <c r="AH31" s="81">
        <f>TRUNC(IF(AF31&lt;0.01,-AF31,0),2)</f>
        <v>0</v>
      </c>
      <c r="AI31" s="81">
        <f>AB31-AD31-AE31-AG31+AH31</f>
        <v>3109.87</v>
      </c>
      <c r="AJ31" s="70"/>
      <c r="AK31" s="40">
        <v>17</v>
      </c>
      <c r="AM31" s="87"/>
    </row>
    <row r="32" spans="1:39" s="40" customFormat="1" ht="12.75">
      <c r="A32" s="100"/>
      <c r="B32" s="147"/>
      <c r="C32" s="147"/>
      <c r="D32" s="91" t="s">
        <v>25</v>
      </c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49"/>
      <c r="Q32" s="49"/>
      <c r="R32" s="49"/>
      <c r="S32" s="50"/>
      <c r="T32" s="51"/>
      <c r="U32" s="93"/>
      <c r="V32" s="94">
        <f>SUM(V27:V31)</f>
        <v>28971.15</v>
      </c>
      <c r="W32" s="94">
        <f t="shared" ref="W32:AI32" si="48">SUM(W27:W31)</f>
        <v>1158.8399999999999</v>
      </c>
      <c r="X32" s="94">
        <f t="shared" si="48"/>
        <v>2027.97</v>
      </c>
      <c r="Y32" s="94">
        <f t="shared" si="48"/>
        <v>0</v>
      </c>
      <c r="Z32" s="94">
        <f t="shared" si="48"/>
        <v>3186.8100000000009</v>
      </c>
      <c r="AA32" s="94">
        <f t="shared" si="48"/>
        <v>28971.15</v>
      </c>
      <c r="AB32" s="94">
        <f t="shared" si="48"/>
        <v>32157.960000000003</v>
      </c>
      <c r="AC32" s="94">
        <f t="shared" si="48"/>
        <v>0</v>
      </c>
      <c r="AD32" s="94">
        <f t="shared" si="48"/>
        <v>1000</v>
      </c>
      <c r="AE32" s="94">
        <f t="shared" si="48"/>
        <v>0</v>
      </c>
      <c r="AF32" s="94">
        <f>SUM(AF27:AF31)</f>
        <v>3579.4749040000002</v>
      </c>
      <c r="AG32" s="94">
        <f t="shared" si="48"/>
        <v>3681.7400000000002</v>
      </c>
      <c r="AH32" s="94">
        <f t="shared" si="48"/>
        <v>102.3</v>
      </c>
      <c r="AI32" s="94">
        <f t="shared" si="48"/>
        <v>27578.52</v>
      </c>
      <c r="AJ32" s="50"/>
    </row>
    <row r="33" spans="1:39" s="40" customFormat="1">
      <c r="A33" s="100"/>
      <c r="B33" s="147"/>
      <c r="C33" s="147"/>
      <c r="D33" s="122"/>
      <c r="E33" s="43"/>
      <c r="F33" s="43"/>
      <c r="G33" s="44"/>
      <c r="H33" s="92"/>
      <c r="I33" s="92"/>
      <c r="J33" s="92"/>
      <c r="K33" s="92"/>
      <c r="L33" s="92"/>
      <c r="M33" s="92"/>
      <c r="N33" s="92"/>
      <c r="O33" s="92"/>
      <c r="P33" s="49"/>
      <c r="Q33" s="49"/>
      <c r="R33" s="49"/>
      <c r="S33" s="50"/>
      <c r="T33" s="51"/>
      <c r="U33" s="93"/>
      <c r="V33" s="83"/>
      <c r="W33" s="148"/>
      <c r="X33" s="83"/>
      <c r="Y33" s="139"/>
      <c r="Z33" s="83"/>
      <c r="AA33" s="83"/>
      <c r="AB33" s="83"/>
      <c r="AC33" s="83"/>
      <c r="AD33" s="83"/>
      <c r="AE33" s="83"/>
      <c r="AF33" s="87"/>
      <c r="AG33" s="83"/>
      <c r="AH33" s="149"/>
      <c r="AI33" s="149"/>
      <c r="AJ33" s="50"/>
    </row>
    <row r="34" spans="1:39" s="40" customFormat="1" ht="12.75">
      <c r="A34" s="100"/>
      <c r="B34" s="147"/>
      <c r="C34" s="147"/>
      <c r="D34" s="91" t="s">
        <v>220</v>
      </c>
      <c r="E34" s="43"/>
      <c r="F34" s="43"/>
      <c r="G34" s="44"/>
      <c r="H34" s="92"/>
      <c r="I34" s="92"/>
      <c r="J34" s="92"/>
      <c r="K34" s="92"/>
      <c r="L34" s="92"/>
      <c r="M34" s="92"/>
      <c r="N34" s="92"/>
      <c r="O34" s="92"/>
      <c r="P34" s="49"/>
      <c r="Q34" s="49"/>
      <c r="R34" s="49"/>
      <c r="S34" s="50"/>
      <c r="T34" s="51"/>
      <c r="U34" s="93"/>
      <c r="V34" s="83"/>
      <c r="W34" s="148"/>
      <c r="X34" s="83"/>
      <c r="Y34" s="139"/>
      <c r="Z34" s="83"/>
      <c r="AA34" s="83"/>
      <c r="AB34" s="83"/>
      <c r="AC34" s="83"/>
      <c r="AD34" s="83"/>
      <c r="AE34" s="83"/>
      <c r="AF34" s="87"/>
      <c r="AG34" s="83"/>
      <c r="AH34" s="149"/>
      <c r="AI34" s="149"/>
      <c r="AJ34" s="50"/>
    </row>
    <row r="35" spans="1:39" s="40" customFormat="1" ht="36" customHeight="1">
      <c r="A35" s="100">
        <v>18</v>
      </c>
      <c r="B35" s="68"/>
      <c r="C35" s="68"/>
      <c r="D35" s="61" t="s">
        <v>380</v>
      </c>
      <c r="E35" s="140"/>
      <c r="F35" s="140"/>
      <c r="G35" s="63"/>
      <c r="H35" s="128" t="s">
        <v>26</v>
      </c>
      <c r="I35" s="128"/>
      <c r="J35" s="128"/>
      <c r="K35" s="128"/>
      <c r="L35" s="128"/>
      <c r="M35" s="128"/>
      <c r="N35" s="128"/>
      <c r="O35" s="128"/>
      <c r="P35" s="69">
        <v>15</v>
      </c>
      <c r="Q35" s="69" t="s">
        <v>209</v>
      </c>
      <c r="R35" s="69"/>
      <c r="S35" s="70">
        <v>0</v>
      </c>
      <c r="T35" s="71">
        <v>0</v>
      </c>
      <c r="U35" s="153">
        <f>15321/30</f>
        <v>510.7</v>
      </c>
      <c r="V35" s="77">
        <f t="shared" ref="V35" si="49">TRUNC(U35*P35,2)</f>
        <v>7660.5</v>
      </c>
      <c r="W35" s="78">
        <f t="shared" ref="W35" si="50">TRUNC(U35*P35*0.04,2)</f>
        <v>306.42</v>
      </c>
      <c r="X35" s="77">
        <f t="shared" ref="X35" si="51">TRUNC(U35*0.07*P35,2)</f>
        <v>536.23</v>
      </c>
      <c r="Y35" s="154">
        <f t="shared" ref="Y35:Y36" si="52">S35</f>
        <v>0</v>
      </c>
      <c r="Z35" s="77">
        <f t="shared" ref="Z35" si="53">TRUNC(X35+W35+(IF(Y35&gt;519,519,Y35))+IF(R35=0,0,R35*U35),2)</f>
        <v>842.65</v>
      </c>
      <c r="AA35" s="77">
        <f t="shared" ref="AA35" si="54">TRUNC((IF(R35=0,P35*U35,(P35-R35)*U35))+(IF(Y35&lt;519,0,Y35-519)),2)+T35</f>
        <v>7660.5</v>
      </c>
      <c r="AB35" s="77">
        <f t="shared" ref="AB35:AB36" si="55">Z35+AA35</f>
        <v>8503.15</v>
      </c>
      <c r="AC35" s="77"/>
      <c r="AD35" s="77">
        <v>500</v>
      </c>
      <c r="AE35" s="77">
        <v>0</v>
      </c>
      <c r="AF35" s="80">
        <f t="shared" ref="AF35" si="56">IF(U35&gt;0.01,(AA35-VLOOKUP(AA35,quincenal,1))*VLOOKUP(AA35,quincenal,3)+VLOOKUP(AA35,quincenal,2)-VLOOKUP(AA35,subquincenal,2),0)</f>
        <v>1089.0936240000001</v>
      </c>
      <c r="AG35" s="77">
        <f t="shared" ref="AG35:AG36" si="57">TRUNC(IF(AF35&gt;0.01,AF35,0),2)</f>
        <v>1089.0899999999999</v>
      </c>
      <c r="AH35" s="81">
        <f t="shared" ref="AH35:AH36" si="58">TRUNC(IF(AF35&lt;0.01,-AF35,0),2)</f>
        <v>0</v>
      </c>
      <c r="AI35" s="81">
        <f t="shared" ref="AI35:AI36" si="59">AB35-AD35-AE35-AG35+AH35</f>
        <v>6914.0599999999995</v>
      </c>
      <c r="AJ35" s="70"/>
      <c r="AK35" s="40">
        <v>18</v>
      </c>
      <c r="AM35" s="87"/>
    </row>
    <row r="36" spans="1:39" s="40" customFormat="1" ht="36" customHeight="1">
      <c r="A36" s="100">
        <v>19</v>
      </c>
      <c r="B36" s="68"/>
      <c r="C36" s="68"/>
      <c r="D36" s="61" t="s">
        <v>211</v>
      </c>
      <c r="E36" s="97" t="s">
        <v>309</v>
      </c>
      <c r="F36" s="97" t="s">
        <v>310</v>
      </c>
      <c r="G36" s="63"/>
      <c r="H36" s="102" t="s">
        <v>19</v>
      </c>
      <c r="I36" s="102"/>
      <c r="J36" s="102"/>
      <c r="K36" s="102"/>
      <c r="L36" s="102"/>
      <c r="M36" s="102"/>
      <c r="N36" s="102"/>
      <c r="O36" s="102"/>
      <c r="P36" s="127">
        <v>15</v>
      </c>
      <c r="Q36" s="127" t="s">
        <v>209</v>
      </c>
      <c r="R36" s="127"/>
      <c r="S36" s="132">
        <v>0</v>
      </c>
      <c r="T36" s="133">
        <v>0</v>
      </c>
      <c r="U36" s="76">
        <f>6356/30</f>
        <v>211.86666666666667</v>
      </c>
      <c r="V36" s="79">
        <f>TRUNC(U36*P36,2)</f>
        <v>3178</v>
      </c>
      <c r="W36" s="135">
        <f>TRUNC(U36*P36*0.04,2)</f>
        <v>127.12</v>
      </c>
      <c r="X36" s="79">
        <f>TRUNC(U36*0.07*P36,2)</f>
        <v>222.46</v>
      </c>
      <c r="Y36" s="79">
        <f t="shared" si="52"/>
        <v>0</v>
      </c>
      <c r="Z36" s="79">
        <f>TRUNC(X36+W36+(IF(Y36&gt;519,519,Y36))+IF(R36=0,0,R36*U36),2)</f>
        <v>349.58</v>
      </c>
      <c r="AA36" s="79">
        <f>TRUNC((IF(R36=0,P36*U36,(P36-R36)*U36))+(IF(Y36&lt;519,0,Y36-519)),2)+T36</f>
        <v>3178</v>
      </c>
      <c r="AB36" s="79">
        <f t="shared" si="55"/>
        <v>3527.58</v>
      </c>
      <c r="AC36" s="79"/>
      <c r="AD36" s="79">
        <v>0</v>
      </c>
      <c r="AE36" s="79">
        <v>0</v>
      </c>
      <c r="AF36" s="80">
        <f t="shared" ref="AF36" si="60">IF(U36&gt;0.01,(AA36-VLOOKUP(AA36,quincenal,1))*VLOOKUP(AA36,quincenal,3)+VLOOKUP(AA36,quincenal,2)-VLOOKUP(AA36,subquincenal,2),0)</f>
        <v>116.58331199999998</v>
      </c>
      <c r="AG36" s="79">
        <f t="shared" si="57"/>
        <v>116.58</v>
      </c>
      <c r="AH36" s="136">
        <f t="shared" si="58"/>
        <v>0</v>
      </c>
      <c r="AI36" s="136">
        <f t="shared" si="59"/>
        <v>3411</v>
      </c>
      <c r="AJ36" s="132"/>
      <c r="AK36" s="40">
        <v>19</v>
      </c>
      <c r="AM36" s="87"/>
    </row>
    <row r="37" spans="1:39" s="40" customFormat="1" ht="12.75" customHeight="1">
      <c r="A37" s="100"/>
      <c r="B37" s="68"/>
      <c r="C37" s="68"/>
      <c r="D37" s="91" t="s">
        <v>220</v>
      </c>
      <c r="E37" s="43"/>
      <c r="F37" s="43"/>
      <c r="G37" s="193"/>
      <c r="H37" s="92"/>
      <c r="I37" s="92"/>
      <c r="J37" s="92"/>
      <c r="K37" s="92"/>
      <c r="L37" s="92"/>
      <c r="M37" s="92"/>
      <c r="N37" s="92"/>
      <c r="O37" s="92"/>
      <c r="P37" s="194"/>
      <c r="Q37" s="194"/>
      <c r="U37" s="94"/>
      <c r="V37" s="94">
        <f>SUM(V35:V36)</f>
        <v>10838.5</v>
      </c>
      <c r="W37" s="94">
        <f t="shared" ref="W37:AI37" si="61">SUM(W35:W36)</f>
        <v>433.54</v>
      </c>
      <c r="X37" s="94">
        <f t="shared" si="61"/>
        <v>758.69</v>
      </c>
      <c r="Y37" s="94">
        <f t="shared" si="61"/>
        <v>0</v>
      </c>
      <c r="Z37" s="94">
        <f t="shared" si="61"/>
        <v>1192.23</v>
      </c>
      <c r="AA37" s="94">
        <f t="shared" si="61"/>
        <v>10838.5</v>
      </c>
      <c r="AB37" s="94">
        <f t="shared" si="61"/>
        <v>12030.73</v>
      </c>
      <c r="AC37" s="94">
        <f t="shared" si="61"/>
        <v>0</v>
      </c>
      <c r="AD37" s="94">
        <f t="shared" si="61"/>
        <v>500</v>
      </c>
      <c r="AE37" s="94">
        <f t="shared" si="61"/>
        <v>0</v>
      </c>
      <c r="AF37" s="94">
        <f t="shared" si="61"/>
        <v>1205.6769360000001</v>
      </c>
      <c r="AG37" s="94">
        <f t="shared" si="61"/>
        <v>1205.6699999999998</v>
      </c>
      <c r="AH37" s="94">
        <f t="shared" si="61"/>
        <v>0</v>
      </c>
      <c r="AI37" s="94">
        <f t="shared" si="61"/>
        <v>10325.06</v>
      </c>
      <c r="AK37" s="40">
        <v>20</v>
      </c>
      <c r="AM37" s="87"/>
    </row>
    <row r="38" spans="1:39" s="40" customFormat="1">
      <c r="A38" s="100"/>
      <c r="B38" s="147"/>
      <c r="C38" s="147"/>
      <c r="D38" s="122"/>
      <c r="E38" s="43"/>
      <c r="F38" s="43"/>
      <c r="G38" s="44"/>
      <c r="H38" s="92"/>
      <c r="I38" s="92"/>
      <c r="J38" s="92"/>
      <c r="K38" s="92"/>
      <c r="L38" s="92"/>
      <c r="M38" s="92"/>
      <c r="N38" s="92"/>
      <c r="O38" s="92"/>
      <c r="P38" s="49"/>
      <c r="Q38" s="49"/>
      <c r="R38" s="49"/>
      <c r="S38" s="50"/>
      <c r="T38" s="51"/>
      <c r="U38" s="93"/>
      <c r="V38" s="83"/>
      <c r="W38" s="148"/>
      <c r="X38" s="83"/>
      <c r="Y38" s="139"/>
      <c r="Z38" s="83"/>
      <c r="AA38" s="83"/>
      <c r="AB38" s="83"/>
      <c r="AC38" s="83"/>
      <c r="AD38" s="83"/>
      <c r="AE38" s="83"/>
      <c r="AF38" s="87"/>
      <c r="AG38" s="83"/>
      <c r="AH38" s="149"/>
      <c r="AI38" s="149"/>
      <c r="AJ38" s="50"/>
    </row>
    <row r="39" spans="1:39" s="40" customFormat="1" ht="12.75">
      <c r="A39" s="100"/>
      <c r="B39" s="147"/>
      <c r="C39" s="147"/>
      <c r="D39" s="91" t="s">
        <v>30</v>
      </c>
      <c r="E39" s="43"/>
      <c r="F39" s="43"/>
      <c r="G39" s="44"/>
      <c r="H39" s="92"/>
      <c r="I39" s="92"/>
      <c r="J39" s="92"/>
      <c r="K39" s="92"/>
      <c r="L39" s="92"/>
      <c r="M39" s="92"/>
      <c r="N39" s="92"/>
      <c r="O39" s="92"/>
      <c r="P39" s="49"/>
      <c r="Q39" s="49"/>
      <c r="R39" s="49"/>
      <c r="S39" s="50"/>
      <c r="T39" s="51"/>
      <c r="U39" s="93"/>
      <c r="V39" s="83"/>
      <c r="W39" s="148"/>
      <c r="X39" s="83"/>
      <c r="Y39" s="139"/>
      <c r="Z39" s="83"/>
      <c r="AA39" s="83"/>
      <c r="AB39" s="83"/>
      <c r="AC39" s="83"/>
      <c r="AD39" s="83"/>
      <c r="AE39" s="83"/>
      <c r="AF39" s="87"/>
      <c r="AG39" s="83"/>
      <c r="AH39" s="149"/>
      <c r="AI39" s="149"/>
      <c r="AJ39" s="50"/>
    </row>
    <row r="40" spans="1:39" s="40" customFormat="1" ht="36" customHeight="1">
      <c r="A40" s="100">
        <v>20</v>
      </c>
      <c r="B40" s="146">
        <v>1</v>
      </c>
      <c r="C40" s="68">
        <v>7</v>
      </c>
      <c r="D40" s="61" t="s">
        <v>459</v>
      </c>
      <c r="E40" s="62"/>
      <c r="F40" s="62"/>
      <c r="G40" s="63"/>
      <c r="H40" s="102" t="s">
        <v>195</v>
      </c>
      <c r="I40" s="102"/>
      <c r="J40" s="102"/>
      <c r="K40" s="102"/>
      <c r="L40" s="102"/>
      <c r="M40" s="102"/>
      <c r="N40" s="102"/>
      <c r="O40" s="102"/>
      <c r="P40" s="127">
        <v>15</v>
      </c>
      <c r="Q40" s="127" t="s">
        <v>209</v>
      </c>
      <c r="R40" s="127"/>
      <c r="S40" s="132">
        <v>0</v>
      </c>
      <c r="T40" s="133">
        <v>0</v>
      </c>
      <c r="U40" s="76">
        <f>20774/30</f>
        <v>692.4666666666667</v>
      </c>
      <c r="V40" s="79">
        <f>TRUNC(U40*P40,2)</f>
        <v>10387</v>
      </c>
      <c r="W40" s="135">
        <f>TRUNC(U40*P40*0.04,2)</f>
        <v>415.48</v>
      </c>
      <c r="X40" s="79">
        <f>TRUNC(U40*0.07*P40,2)</f>
        <v>727.09</v>
      </c>
      <c r="Y40" s="79">
        <f>S40</f>
        <v>0</v>
      </c>
      <c r="Z40" s="79">
        <f>TRUNC(X40+W40+(IF(Y40&gt;519,519,Y40))+IF(R40=0,0,R40*U40),2)</f>
        <v>1142.57</v>
      </c>
      <c r="AA40" s="79">
        <f>TRUNC((IF(R40=0,P40*U40,(P40-R40)*U40))+(IF(Y40&lt;519,0,Y40-519)),2)+T40</f>
        <v>10387</v>
      </c>
      <c r="AB40" s="79">
        <f>Z40+AA40</f>
        <v>11529.57</v>
      </c>
      <c r="AC40" s="79"/>
      <c r="AD40" s="79">
        <v>500</v>
      </c>
      <c r="AE40" s="79">
        <v>0</v>
      </c>
      <c r="AF40" s="80">
        <f>IF(U40&gt;0.01,(AA40-VLOOKUP(AA40,quincenal,1))*VLOOKUP(AA40,quincenal,3)+VLOOKUP(AA40,quincenal,2)-VLOOKUP(AA40,subquincenal,2),0)</f>
        <v>1674.3346080000001</v>
      </c>
      <c r="AG40" s="79">
        <f>TRUNC(IF(AF40&gt;0.01,AF40,0),2)</f>
        <v>1674.33</v>
      </c>
      <c r="AH40" s="136">
        <f>TRUNC(IF(AF40&lt;0.01,-AF40,0),2)</f>
        <v>0</v>
      </c>
      <c r="AI40" s="136">
        <f>AB40-AD40-AE40-AG40+AH40</f>
        <v>9355.24</v>
      </c>
      <c r="AJ40" s="132"/>
      <c r="AK40" s="40">
        <v>22</v>
      </c>
      <c r="AM40" s="87"/>
    </row>
    <row r="41" spans="1:39" s="40" customFormat="1" ht="29.25" customHeight="1">
      <c r="A41" s="100">
        <v>21</v>
      </c>
      <c r="B41" s="146"/>
      <c r="C41" s="68"/>
      <c r="D41" s="61" t="s">
        <v>386</v>
      </c>
      <c r="E41" s="95" t="s">
        <v>311</v>
      </c>
      <c r="F41" s="95" t="s">
        <v>312</v>
      </c>
      <c r="G41" s="63"/>
      <c r="H41" s="102" t="s">
        <v>432</v>
      </c>
      <c r="I41" s="102"/>
      <c r="J41" s="102"/>
      <c r="K41" s="102"/>
      <c r="L41" s="102"/>
      <c r="M41" s="102"/>
      <c r="N41" s="102"/>
      <c r="O41" s="102"/>
      <c r="P41" s="69">
        <v>15</v>
      </c>
      <c r="Q41" s="69" t="s">
        <v>209</v>
      </c>
      <c r="R41" s="69"/>
      <c r="S41" s="70">
        <v>0</v>
      </c>
      <c r="T41" s="71">
        <v>0</v>
      </c>
      <c r="U41" s="76">
        <f>9593/30</f>
        <v>319.76666666666665</v>
      </c>
      <c r="V41" s="77">
        <f>TRUNC(U41*P41,2)</f>
        <v>4796.5</v>
      </c>
      <c r="W41" s="78">
        <f>TRUNC(U41*P41*0.04,2)</f>
        <v>191.86</v>
      </c>
      <c r="X41" s="77">
        <f>TRUNC(U41*0.07*P41,2)</f>
        <v>335.75</v>
      </c>
      <c r="Y41" s="79">
        <f>S41</f>
        <v>0</v>
      </c>
      <c r="Z41" s="77">
        <f>TRUNC(X41+W41+(IF(Y41&gt;519,519,Y41))+IF(R41=0,0,R41*U41),2)</f>
        <v>527.61</v>
      </c>
      <c r="AA41" s="77">
        <f>TRUNC((IF(R41=0,P41*U41,(P41-R41)*U41))+(IF(Y41&lt;519,0,Y41-519)),2)+T41</f>
        <v>4796.5</v>
      </c>
      <c r="AB41" s="77">
        <f>Z41+AA41</f>
        <v>5324.11</v>
      </c>
      <c r="AC41" s="77"/>
      <c r="AD41" s="77">
        <v>150</v>
      </c>
      <c r="AE41" s="77">
        <v>0</v>
      </c>
      <c r="AF41" s="80">
        <f>IF(U41&gt;0.01,(AA41-VLOOKUP(AA41,quincenal,1))*VLOOKUP(AA41,quincenal,3)+VLOOKUP(AA41,quincenal,2)-VLOOKUP(AA41,subquincenal,2),0)</f>
        <v>487.03828800000008</v>
      </c>
      <c r="AG41" s="77">
        <f>TRUNC(IF(AF41&gt;0.01,AF41,0),2)</f>
        <v>487.03</v>
      </c>
      <c r="AH41" s="81">
        <f>TRUNC(IF(AF41&lt;0.01,-AF41,0),2)</f>
        <v>0</v>
      </c>
      <c r="AI41" s="81">
        <f>AB41-AD41-AE41-AG41+AH41</f>
        <v>4687.08</v>
      </c>
      <c r="AJ41" s="70"/>
      <c r="AK41" s="40">
        <v>23</v>
      </c>
      <c r="AM41" s="87"/>
    </row>
    <row r="42" spans="1:39" s="40" customFormat="1" ht="36" customHeight="1">
      <c r="A42" s="100">
        <v>22</v>
      </c>
      <c r="B42" s="146"/>
      <c r="C42" s="68"/>
      <c r="D42" s="61" t="s">
        <v>496</v>
      </c>
      <c r="E42" s="95" t="s">
        <v>311</v>
      </c>
      <c r="F42" s="95" t="s">
        <v>312</v>
      </c>
      <c r="G42" s="63"/>
      <c r="H42" s="102" t="s">
        <v>497</v>
      </c>
      <c r="I42" s="102"/>
      <c r="J42" s="102"/>
      <c r="K42" s="102"/>
      <c r="L42" s="102"/>
      <c r="M42" s="102"/>
      <c r="N42" s="102"/>
      <c r="O42" s="102"/>
      <c r="P42" s="69">
        <v>15</v>
      </c>
      <c r="Q42" s="69" t="s">
        <v>209</v>
      </c>
      <c r="R42" s="69"/>
      <c r="S42" s="70"/>
      <c r="T42" s="71"/>
      <c r="U42" s="76">
        <v>88.483339999999998</v>
      </c>
      <c r="V42" s="77">
        <f>TRUNC(U42*P42,2)</f>
        <v>1327.25</v>
      </c>
      <c r="W42" s="78">
        <f>TRUNC(U42*P42*0.04,2)</f>
        <v>53.09</v>
      </c>
      <c r="X42" s="77">
        <f>TRUNC(U42*0.07*P42,2)</f>
        <v>92.9</v>
      </c>
      <c r="Y42" s="79">
        <f>S42</f>
        <v>0</v>
      </c>
      <c r="Z42" s="77">
        <f>TRUNC(X42+W42+(IF(Y42&gt;519,519,Y42))+IF(R42=0,0,R42*U42),2)</f>
        <v>145.99</v>
      </c>
      <c r="AA42" s="77">
        <f>TRUNC((IF(R42=0,P42*U42,(P42-R42)*U42))+(IF(Y42&lt;519,0,Y42-519)),2)+T42</f>
        <v>1327.25</v>
      </c>
      <c r="AB42" s="77">
        <f>Z42+AA42</f>
        <v>1473.24</v>
      </c>
      <c r="AC42" s="77"/>
      <c r="AD42" s="77">
        <v>500</v>
      </c>
      <c r="AE42" s="77">
        <v>0</v>
      </c>
      <c r="AF42" s="80">
        <f>IF(U42&gt;0.01,(AA42-VLOOKUP(AA42,quincenal,1))*VLOOKUP(AA42,quincenal,3)+VLOOKUP(AA42,quincenal,2)-VLOOKUP(AA42,subquincenal,2),0)</f>
        <v>-126.77383999999998</v>
      </c>
      <c r="AG42" s="77">
        <f>TRUNC(IF(AF42&gt;0.01,AF42,0),2)</f>
        <v>0</v>
      </c>
      <c r="AH42" s="81">
        <f>TRUNC(IF(AF42&lt;0.01,-AF42,0),2)</f>
        <v>126.77</v>
      </c>
      <c r="AI42" s="81">
        <f>AB42-AD42-AE42-AG42+AH42-0.01</f>
        <v>1100</v>
      </c>
      <c r="AJ42" s="70"/>
      <c r="AK42" s="40">
        <v>24</v>
      </c>
      <c r="AM42" s="87"/>
    </row>
    <row r="43" spans="1:39" s="40" customFormat="1" ht="12.75">
      <c r="A43" s="100"/>
      <c r="B43" s="147"/>
      <c r="C43" s="147"/>
      <c r="D43" s="91" t="s">
        <v>30</v>
      </c>
      <c r="E43" s="43"/>
      <c r="F43" s="43"/>
      <c r="G43" s="44"/>
      <c r="H43" s="92"/>
      <c r="I43" s="92"/>
      <c r="J43" s="92"/>
      <c r="K43" s="92"/>
      <c r="L43" s="92"/>
      <c r="M43" s="92"/>
      <c r="N43" s="92"/>
      <c r="O43" s="92"/>
      <c r="P43" s="49"/>
      <c r="Q43" s="49"/>
      <c r="R43" s="49"/>
      <c r="S43" s="50"/>
      <c r="T43" s="51"/>
      <c r="U43" s="93"/>
      <c r="V43" s="94">
        <f t="shared" ref="V43:AI43" si="62">SUM(V40:V42)</f>
        <v>16510.75</v>
      </c>
      <c r="W43" s="94">
        <f t="shared" si="62"/>
        <v>660.43000000000006</v>
      </c>
      <c r="X43" s="94">
        <f t="shared" si="62"/>
        <v>1155.7400000000002</v>
      </c>
      <c r="Y43" s="94">
        <f t="shared" si="62"/>
        <v>0</v>
      </c>
      <c r="Z43" s="94">
        <f t="shared" si="62"/>
        <v>1816.1699999999998</v>
      </c>
      <c r="AA43" s="94">
        <f t="shared" si="62"/>
        <v>16510.75</v>
      </c>
      <c r="AB43" s="94">
        <f t="shared" si="62"/>
        <v>18326.920000000002</v>
      </c>
      <c r="AC43" s="94">
        <f t="shared" si="62"/>
        <v>0</v>
      </c>
      <c r="AD43" s="94">
        <f t="shared" si="62"/>
        <v>1150</v>
      </c>
      <c r="AE43" s="94">
        <f t="shared" si="62"/>
        <v>0</v>
      </c>
      <c r="AF43" s="94">
        <f t="shared" si="62"/>
        <v>2034.5990560000002</v>
      </c>
      <c r="AG43" s="94">
        <f t="shared" si="62"/>
        <v>2161.3599999999997</v>
      </c>
      <c r="AH43" s="94">
        <f t="shared" si="62"/>
        <v>126.77</v>
      </c>
      <c r="AI43" s="94">
        <f t="shared" si="62"/>
        <v>15142.32</v>
      </c>
      <c r="AJ43" s="50"/>
    </row>
    <row r="44" spans="1:39" s="40" customFormat="1" ht="12.75">
      <c r="A44" s="100"/>
      <c r="B44" s="147"/>
      <c r="C44" s="147"/>
      <c r="D44" s="91"/>
      <c r="E44" s="43"/>
      <c r="F44" s="43"/>
      <c r="G44" s="44"/>
      <c r="H44" s="92"/>
      <c r="I44" s="92"/>
      <c r="J44" s="92"/>
      <c r="K44" s="92"/>
      <c r="L44" s="92"/>
      <c r="M44" s="92"/>
      <c r="N44" s="92"/>
      <c r="O44" s="92"/>
      <c r="P44" s="49"/>
      <c r="Q44" s="49"/>
      <c r="R44" s="49"/>
      <c r="S44" s="50"/>
      <c r="T44" s="51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50"/>
    </row>
    <row r="45" spans="1:39" s="40" customFormat="1" ht="12.75">
      <c r="A45" s="100"/>
      <c r="B45" s="147"/>
      <c r="C45" s="147"/>
      <c r="D45" s="91" t="s">
        <v>379</v>
      </c>
      <c r="E45" s="43"/>
      <c r="F45" s="43"/>
      <c r="G45" s="44"/>
      <c r="H45" s="92"/>
      <c r="I45" s="92"/>
      <c r="J45" s="92"/>
      <c r="K45" s="92"/>
      <c r="L45" s="92"/>
      <c r="M45" s="92"/>
      <c r="N45" s="92"/>
      <c r="O45" s="92"/>
      <c r="P45" s="49"/>
      <c r="Q45" s="49"/>
      <c r="R45" s="49"/>
      <c r="S45" s="50"/>
      <c r="T45" s="51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50"/>
    </row>
    <row r="46" spans="1:39" s="40" customFormat="1" ht="3" customHeight="1">
      <c r="A46" s="100">
        <v>22</v>
      </c>
      <c r="B46" s="147"/>
      <c r="C46" s="147"/>
      <c r="D46" s="61"/>
      <c r="E46" s="140" t="s">
        <v>156</v>
      </c>
      <c r="F46" s="140" t="s">
        <v>180</v>
      </c>
      <c r="G46" s="141">
        <v>39090</v>
      </c>
      <c r="H46" s="98" t="s">
        <v>419</v>
      </c>
      <c r="I46" s="98"/>
      <c r="J46" s="98"/>
      <c r="K46" s="98"/>
      <c r="L46" s="98"/>
      <c r="M46" s="98"/>
      <c r="N46" s="98"/>
      <c r="O46" s="98"/>
      <c r="P46" s="69"/>
      <c r="Q46" s="69" t="s">
        <v>209</v>
      </c>
      <c r="R46" s="69"/>
      <c r="S46" s="70">
        <v>0</v>
      </c>
      <c r="T46" s="71">
        <v>0</v>
      </c>
      <c r="U46" s="76">
        <f>12653/30</f>
        <v>421.76666666666665</v>
      </c>
      <c r="V46" s="77">
        <f>TRUNC(U46*P46,2)</f>
        <v>0</v>
      </c>
      <c r="W46" s="78">
        <f>TRUNC(U46*P46*0.04,2)</f>
        <v>0</v>
      </c>
      <c r="X46" s="77">
        <f>TRUNC(U46*0.07*P46,2)</f>
        <v>0</v>
      </c>
      <c r="Y46" s="79">
        <f>S46</f>
        <v>0</v>
      </c>
      <c r="Z46" s="77">
        <f>TRUNC(X46+W46+(IF(Y46&gt;519,519,Y46))+IF(R46=0,0,R46*U46),2)</f>
        <v>0</v>
      </c>
      <c r="AA46" s="77">
        <f>TRUNC((IF(R46=0,P46*U46,(P46-R46)*U46))+(IF(Y46&lt;519,0,Y46-519)),2)+T46</f>
        <v>0</v>
      </c>
      <c r="AB46" s="77">
        <f>Z46+AA46</f>
        <v>0</v>
      </c>
      <c r="AC46" s="77"/>
      <c r="AD46" s="77"/>
      <c r="AE46" s="77">
        <v>0</v>
      </c>
      <c r="AF46" s="80" t="e">
        <f>IF(U46&gt;0.01,(AA46-VLOOKUP(AA46,quincenal,1))*VLOOKUP(AA46,quincenal,3)+VLOOKUP(AA46,quincenal,2)-VLOOKUP(AA46,subquincenal,2),0)</f>
        <v>#N/A</v>
      </c>
      <c r="AG46" s="77"/>
      <c r="AH46" s="81"/>
      <c r="AI46" s="81"/>
      <c r="AJ46" s="70"/>
      <c r="AK46" s="40">
        <v>25</v>
      </c>
    </row>
    <row r="47" spans="1:39" s="40" customFormat="1" ht="36" customHeight="1">
      <c r="A47" s="100">
        <v>23</v>
      </c>
      <c r="B47" s="147"/>
      <c r="C47" s="147"/>
      <c r="D47" s="61" t="s">
        <v>487</v>
      </c>
      <c r="E47" s="140" t="s">
        <v>289</v>
      </c>
      <c r="F47" s="140" t="s">
        <v>290</v>
      </c>
      <c r="G47" s="63"/>
      <c r="H47" s="98" t="s">
        <v>418</v>
      </c>
      <c r="I47" s="98"/>
      <c r="J47" s="98"/>
      <c r="K47" s="98"/>
      <c r="L47" s="98"/>
      <c r="M47" s="98"/>
      <c r="N47" s="98"/>
      <c r="O47" s="98"/>
      <c r="P47" s="69">
        <v>15</v>
      </c>
      <c r="Q47" s="69" t="s">
        <v>209</v>
      </c>
      <c r="R47" s="69"/>
      <c r="S47" s="70">
        <v>0</v>
      </c>
      <c r="T47" s="71">
        <v>0</v>
      </c>
      <c r="U47" s="76">
        <f>6795/30</f>
        <v>226.5</v>
      </c>
      <c r="V47" s="77">
        <f>TRUNC(U47*P47,2)</f>
        <v>3397.5</v>
      </c>
      <c r="W47" s="78">
        <f>TRUNC(U47*P47*0.04,2)</f>
        <v>135.9</v>
      </c>
      <c r="X47" s="77">
        <f>TRUNC(U47*0.07*P47,2)</f>
        <v>237.82</v>
      </c>
      <c r="Y47" s="79">
        <f>S47</f>
        <v>0</v>
      </c>
      <c r="Z47" s="77">
        <f>TRUNC(X47+W47+(IF(Y47&gt;519,519,Y47))+IF(R47=0,0,R47*U47),2)</f>
        <v>373.72</v>
      </c>
      <c r="AA47" s="77">
        <f>TRUNC((IF(R47=0,P47*U47,(P47-R47)*U47))+(IF(Y47&lt;519,0,Y47-519)),2)+T47</f>
        <v>3397.5</v>
      </c>
      <c r="AB47" s="77">
        <f>Z47+AA47</f>
        <v>3771.2200000000003</v>
      </c>
      <c r="AC47" s="77"/>
      <c r="AD47" s="77"/>
      <c r="AE47" s="77">
        <v>0</v>
      </c>
      <c r="AF47" s="80">
        <f>IF(U47&gt;0.01,(AA47-VLOOKUP(AA47,quincenal,1))*VLOOKUP(AA47,quincenal,3)+VLOOKUP(AA47,quincenal,2)-VLOOKUP(AA47,subquincenal,2),0)</f>
        <v>140.464912</v>
      </c>
      <c r="AG47" s="77">
        <f>TRUNC(IF(AF47&gt;0.01,AF47,0),2)</f>
        <v>140.46</v>
      </c>
      <c r="AH47" s="81">
        <f>TRUNC(IF(AF47&lt;0.01,-AF47,0),2)</f>
        <v>0</v>
      </c>
      <c r="AI47" s="81">
        <f>AB47-AD47-AE47-AG47+AH47</f>
        <v>3630.76</v>
      </c>
      <c r="AJ47" s="70"/>
      <c r="AK47" s="40">
        <v>26</v>
      </c>
    </row>
    <row r="48" spans="1:39" s="40" customFormat="1" ht="12.75">
      <c r="A48" s="100"/>
      <c r="B48" s="147"/>
      <c r="C48" s="147"/>
      <c r="D48" s="91" t="s">
        <v>379</v>
      </c>
      <c r="E48" s="43"/>
      <c r="F48" s="43"/>
      <c r="G48" s="44"/>
      <c r="H48" s="92"/>
      <c r="I48" s="92"/>
      <c r="J48" s="92"/>
      <c r="K48" s="92"/>
      <c r="L48" s="92"/>
      <c r="M48" s="92"/>
      <c r="N48" s="92"/>
      <c r="O48" s="92"/>
      <c r="P48" s="49"/>
      <c r="Q48" s="49"/>
      <c r="R48" s="49"/>
      <c r="S48" s="50"/>
      <c r="T48" s="51"/>
      <c r="U48" s="93"/>
      <c r="V48" s="86">
        <f>SUM(V46:V47)</f>
        <v>3397.5</v>
      </c>
      <c r="W48" s="86">
        <f t="shared" ref="W48:AI48" si="63">SUM(W46:W47)</f>
        <v>135.9</v>
      </c>
      <c r="X48" s="86">
        <f t="shared" si="63"/>
        <v>237.82</v>
      </c>
      <c r="Y48" s="83">
        <f t="shared" si="63"/>
        <v>0</v>
      </c>
      <c r="Z48" s="83">
        <f t="shared" si="63"/>
        <v>373.72</v>
      </c>
      <c r="AA48" s="83">
        <f t="shared" si="63"/>
        <v>3397.5</v>
      </c>
      <c r="AB48" s="83">
        <f t="shared" si="63"/>
        <v>3771.2200000000003</v>
      </c>
      <c r="AC48" s="83">
        <f t="shared" si="63"/>
        <v>0</v>
      </c>
      <c r="AD48" s="83">
        <f t="shared" si="63"/>
        <v>0</v>
      </c>
      <c r="AE48" s="83">
        <f t="shared" si="63"/>
        <v>0</v>
      </c>
      <c r="AF48" s="83" t="e">
        <f t="shared" si="63"/>
        <v>#N/A</v>
      </c>
      <c r="AG48" s="86">
        <f t="shared" si="63"/>
        <v>140.46</v>
      </c>
      <c r="AH48" s="86">
        <f t="shared" si="63"/>
        <v>0</v>
      </c>
      <c r="AI48" s="86">
        <f t="shared" si="63"/>
        <v>3630.76</v>
      </c>
      <c r="AJ48" s="50"/>
    </row>
    <row r="49" spans="1:39" s="40" customFormat="1">
      <c r="A49" s="100"/>
      <c r="B49" s="147"/>
      <c r="C49" s="147"/>
      <c r="D49" s="122"/>
      <c r="E49" s="43"/>
      <c r="F49" s="43"/>
      <c r="G49" s="44"/>
      <c r="H49" s="92"/>
      <c r="I49" s="92"/>
      <c r="J49" s="92"/>
      <c r="K49" s="92"/>
      <c r="L49" s="92"/>
      <c r="M49" s="92"/>
      <c r="N49" s="92"/>
      <c r="O49" s="92"/>
      <c r="P49" s="49"/>
      <c r="Q49" s="49"/>
      <c r="R49" s="49"/>
      <c r="S49" s="50"/>
      <c r="T49" s="51"/>
      <c r="U49" s="93"/>
      <c r="V49" s="83"/>
      <c r="W49" s="148"/>
      <c r="X49" s="83"/>
      <c r="Y49" s="139"/>
      <c r="Z49" s="83"/>
      <c r="AA49" s="83"/>
      <c r="AB49" s="83"/>
      <c r="AC49" s="83"/>
      <c r="AD49" s="83"/>
      <c r="AE49" s="83"/>
      <c r="AF49" s="87"/>
      <c r="AG49" s="83"/>
      <c r="AH49" s="149"/>
      <c r="AI49" s="149"/>
      <c r="AJ49" s="50"/>
    </row>
    <row r="50" spans="1:39" s="40" customFormat="1" ht="13.5" customHeight="1">
      <c r="A50" s="100"/>
      <c r="B50" s="147"/>
      <c r="C50" s="147"/>
      <c r="D50" s="91" t="s">
        <v>221</v>
      </c>
      <c r="E50" s="43"/>
      <c r="F50" s="43"/>
      <c r="G50" s="44"/>
      <c r="H50" s="92"/>
      <c r="I50" s="92"/>
      <c r="J50" s="92"/>
      <c r="K50" s="92"/>
      <c r="L50" s="92"/>
      <c r="M50" s="92"/>
      <c r="N50" s="92"/>
      <c r="O50" s="92"/>
      <c r="P50" s="49"/>
      <c r="Q50" s="49"/>
      <c r="R50" s="49"/>
      <c r="S50" s="50"/>
      <c r="T50" s="51"/>
      <c r="U50" s="93"/>
      <c r="V50" s="83"/>
      <c r="W50" s="148"/>
      <c r="X50" s="83"/>
      <c r="Y50" s="139"/>
      <c r="Z50" s="83"/>
      <c r="AA50" s="83"/>
      <c r="AB50" s="83"/>
      <c r="AC50" s="83"/>
      <c r="AD50" s="83"/>
      <c r="AE50" s="83"/>
      <c r="AF50" s="87"/>
      <c r="AG50" s="83"/>
      <c r="AH50" s="149"/>
      <c r="AI50" s="149"/>
      <c r="AJ50" s="50"/>
    </row>
    <row r="51" spans="1:39" s="40" customFormat="1" ht="36" customHeight="1">
      <c r="A51" s="100">
        <v>24</v>
      </c>
      <c r="B51" s="147"/>
      <c r="C51" s="147"/>
      <c r="D51" s="61" t="s">
        <v>393</v>
      </c>
      <c r="E51" s="140" t="s">
        <v>156</v>
      </c>
      <c r="F51" s="140" t="s">
        <v>180</v>
      </c>
      <c r="G51" s="141">
        <v>39090</v>
      </c>
      <c r="H51" s="98" t="s">
        <v>31</v>
      </c>
      <c r="I51" s="98"/>
      <c r="J51" s="98"/>
      <c r="K51" s="98"/>
      <c r="L51" s="98"/>
      <c r="M51" s="98"/>
      <c r="N51" s="98"/>
      <c r="O51" s="98"/>
      <c r="P51" s="69">
        <v>15</v>
      </c>
      <c r="Q51" s="69" t="s">
        <v>209</v>
      </c>
      <c r="R51" s="69"/>
      <c r="S51" s="70">
        <v>0</v>
      </c>
      <c r="T51" s="71">
        <v>0</v>
      </c>
      <c r="U51" s="76">
        <v>217.79390000000001</v>
      </c>
      <c r="V51" s="77">
        <f>TRUNC(U51*P51,2)</f>
        <v>3266.9</v>
      </c>
      <c r="W51" s="78">
        <f>TRUNC(U51*P51*0.04,2)</f>
        <v>130.66999999999999</v>
      </c>
      <c r="X51" s="77">
        <f>TRUNC(U51*0.07*P51,2)</f>
        <v>228.68</v>
      </c>
      <c r="Y51" s="79">
        <f>S51</f>
        <v>0</v>
      </c>
      <c r="Z51" s="77">
        <f>TRUNC(X51+W51+(IF(Y51&gt;519,519,Y51))+IF(R51=0,0,R51*U51),2)</f>
        <v>359.35</v>
      </c>
      <c r="AA51" s="77">
        <f>TRUNC((IF(R51=0,P51*U51,(P51-R51)*U51))+(IF(Y51&lt;519,0,Y51-519)),2)+T51</f>
        <v>3266.9</v>
      </c>
      <c r="AB51" s="77">
        <f>Z51+AA51</f>
        <v>3626.25</v>
      </c>
      <c r="AC51" s="77"/>
      <c r="AD51" s="77"/>
      <c r="AE51" s="77">
        <v>0</v>
      </c>
      <c r="AF51" s="80">
        <f>IF(U51&gt;0.01,(AA51-VLOOKUP(AA51,quincenal,1))*VLOOKUP(AA51,quincenal,3)+VLOOKUP(AA51,quincenal,2)-VLOOKUP(AA51,subquincenal,2),0)</f>
        <v>126.25563199999996</v>
      </c>
      <c r="AG51" s="77">
        <f>TRUNC(IF(AF51&gt;0.01,AF51,0),2)</f>
        <v>126.25</v>
      </c>
      <c r="AH51" s="81">
        <f>TRUNC(IF(AF51&lt;0.01,-AF51,0),2)</f>
        <v>0</v>
      </c>
      <c r="AI51" s="81">
        <f>AB51-AD51-AE51-AG51+AH51</f>
        <v>3500</v>
      </c>
      <c r="AJ51" s="132"/>
      <c r="AK51" s="40">
        <v>27</v>
      </c>
    </row>
    <row r="52" spans="1:39" s="40" customFormat="1" ht="3" customHeight="1">
      <c r="A52" s="100">
        <v>25</v>
      </c>
      <c r="B52" s="147"/>
      <c r="C52" s="147"/>
      <c r="D52" s="61"/>
      <c r="E52" s="140" t="s">
        <v>289</v>
      </c>
      <c r="F52" s="140" t="s">
        <v>290</v>
      </c>
      <c r="G52" s="63"/>
      <c r="H52" s="98" t="s">
        <v>34</v>
      </c>
      <c r="I52" s="98"/>
      <c r="J52" s="98"/>
      <c r="K52" s="98"/>
      <c r="L52" s="98"/>
      <c r="M52" s="98"/>
      <c r="N52" s="98"/>
      <c r="O52" s="98"/>
      <c r="P52" s="127">
        <v>0</v>
      </c>
      <c r="Q52" s="127" t="s">
        <v>209</v>
      </c>
      <c r="R52" s="127"/>
      <c r="S52" s="132">
        <v>0</v>
      </c>
      <c r="T52" s="133">
        <v>0</v>
      </c>
      <c r="U52" s="76">
        <f>5183/30</f>
        <v>172.76666666666668</v>
      </c>
      <c r="V52" s="79">
        <f>TRUNC(U52*P52,2)</f>
        <v>0</v>
      </c>
      <c r="W52" s="135">
        <f>TRUNC(U52*P52*0.04,2)</f>
        <v>0</v>
      </c>
      <c r="X52" s="79">
        <f>TRUNC(U52*0.07*P52,2)</f>
        <v>0</v>
      </c>
      <c r="Y52" s="79">
        <f>S52</f>
        <v>0</v>
      </c>
      <c r="Z52" s="79">
        <f>TRUNC(X52+W52+(IF(Y52&gt;519,519,Y52))+IF(R52=0,0,R52*U52),2)</f>
        <v>0</v>
      </c>
      <c r="AA52" s="79">
        <f>TRUNC((IF(R52=0,P52*U52,(P52-R52)*U52))+(IF(Y52&lt;519,0,Y52-519)),2)+T52</f>
        <v>0</v>
      </c>
      <c r="AB52" s="79">
        <f>Z52+AA52</f>
        <v>0</v>
      </c>
      <c r="AC52" s="79"/>
      <c r="AD52" s="79"/>
      <c r="AE52" s="79">
        <v>0</v>
      </c>
      <c r="AF52" s="80" t="e">
        <f>IF(U52&gt;0.01,(AA52-VLOOKUP(AA52,quincenal,1))*VLOOKUP(AA52,quincenal,3)+VLOOKUP(AA52,quincenal,2)-VLOOKUP(AA52,subquincenal,2),0)</f>
        <v>#N/A</v>
      </c>
      <c r="AG52" s="79"/>
      <c r="AH52" s="136"/>
      <c r="AI52" s="136">
        <f>AB52-AD52-AE52-AG52+AH52</f>
        <v>0</v>
      </c>
      <c r="AJ52" s="132"/>
      <c r="AK52" s="40">
        <v>28</v>
      </c>
    </row>
    <row r="53" spans="1:39" s="40" customFormat="1" ht="12.75">
      <c r="A53" s="100"/>
      <c r="B53" s="147"/>
      <c r="C53" s="147"/>
      <c r="D53" s="91" t="s">
        <v>221</v>
      </c>
      <c r="E53" s="43"/>
      <c r="F53" s="43"/>
      <c r="G53" s="44"/>
      <c r="H53" s="92"/>
      <c r="I53" s="92"/>
      <c r="J53" s="92"/>
      <c r="K53" s="92"/>
      <c r="L53" s="92"/>
      <c r="M53" s="92"/>
      <c r="N53" s="92"/>
      <c r="O53" s="92"/>
      <c r="P53" s="49"/>
      <c r="Q53" s="49"/>
      <c r="R53" s="49"/>
      <c r="S53" s="50"/>
      <c r="T53" s="51"/>
      <c r="U53" s="93"/>
      <c r="V53" s="94">
        <f>SUM(V51:V52)</f>
        <v>3266.9</v>
      </c>
      <c r="W53" s="94">
        <f t="shared" ref="W53:AI53" si="64">SUM(W51:W52)</f>
        <v>130.66999999999999</v>
      </c>
      <c r="X53" s="94">
        <f t="shared" si="64"/>
        <v>228.68</v>
      </c>
      <c r="Y53" s="94">
        <f t="shared" si="64"/>
        <v>0</v>
      </c>
      <c r="Z53" s="94">
        <f t="shared" si="64"/>
        <v>359.35</v>
      </c>
      <c r="AA53" s="94">
        <f t="shared" si="64"/>
        <v>3266.9</v>
      </c>
      <c r="AB53" s="94">
        <f t="shared" si="64"/>
        <v>3626.25</v>
      </c>
      <c r="AC53" s="94">
        <f t="shared" si="64"/>
        <v>0</v>
      </c>
      <c r="AD53" s="94">
        <f t="shared" si="64"/>
        <v>0</v>
      </c>
      <c r="AE53" s="94">
        <f t="shared" si="64"/>
        <v>0</v>
      </c>
      <c r="AF53" s="94" t="e">
        <f t="shared" si="64"/>
        <v>#N/A</v>
      </c>
      <c r="AG53" s="94">
        <f t="shared" si="64"/>
        <v>126.25</v>
      </c>
      <c r="AH53" s="94">
        <f t="shared" si="64"/>
        <v>0</v>
      </c>
      <c r="AI53" s="94">
        <f t="shared" si="64"/>
        <v>3500</v>
      </c>
      <c r="AJ53" s="50"/>
    </row>
    <row r="54" spans="1:39" s="40" customFormat="1">
      <c r="A54" s="100"/>
      <c r="B54" s="147"/>
      <c r="C54" s="147"/>
      <c r="D54" s="122"/>
      <c r="E54" s="43"/>
      <c r="F54" s="43"/>
      <c r="G54" s="44"/>
      <c r="H54" s="92"/>
      <c r="I54" s="92"/>
      <c r="J54" s="92"/>
      <c r="K54" s="92"/>
      <c r="L54" s="92"/>
      <c r="M54" s="92"/>
      <c r="N54" s="92"/>
      <c r="O54" s="92"/>
      <c r="P54" s="49"/>
      <c r="Q54" s="49"/>
      <c r="R54" s="49"/>
      <c r="S54" s="50"/>
      <c r="T54" s="51"/>
      <c r="U54" s="93"/>
      <c r="V54" s="83"/>
      <c r="W54" s="148"/>
      <c r="X54" s="83"/>
      <c r="Y54" s="139"/>
      <c r="Z54" s="83"/>
      <c r="AA54" s="83"/>
      <c r="AB54" s="83"/>
      <c r="AC54" s="83"/>
      <c r="AD54" s="83"/>
      <c r="AE54" s="83"/>
      <c r="AF54" s="87"/>
      <c r="AG54" s="83"/>
      <c r="AH54" s="149"/>
      <c r="AI54" s="149"/>
      <c r="AJ54" s="50"/>
    </row>
    <row r="55" spans="1:39" s="40" customFormat="1" ht="12.75">
      <c r="A55" s="100"/>
      <c r="B55" s="147"/>
      <c r="C55" s="147"/>
      <c r="D55" s="91" t="s">
        <v>35</v>
      </c>
      <c r="E55" s="43"/>
      <c r="F55" s="43"/>
      <c r="G55" s="44"/>
      <c r="H55" s="92"/>
      <c r="I55" s="92"/>
      <c r="J55" s="92"/>
      <c r="K55" s="92"/>
      <c r="L55" s="92"/>
      <c r="M55" s="92"/>
      <c r="N55" s="92"/>
      <c r="O55" s="92"/>
      <c r="P55" s="49"/>
      <c r="Q55" s="49"/>
      <c r="R55" s="49"/>
      <c r="S55" s="50"/>
      <c r="T55" s="51"/>
      <c r="U55" s="93"/>
      <c r="V55" s="83"/>
      <c r="W55" s="148"/>
      <c r="X55" s="83"/>
      <c r="Y55" s="139"/>
      <c r="Z55" s="83"/>
      <c r="AA55" s="83"/>
      <c r="AB55" s="83"/>
      <c r="AC55" s="83"/>
      <c r="AD55" s="83"/>
      <c r="AE55" s="83"/>
      <c r="AF55" s="87"/>
      <c r="AG55" s="83"/>
      <c r="AH55" s="149"/>
      <c r="AI55" s="149"/>
      <c r="AJ55" s="50"/>
    </row>
    <row r="56" spans="1:39" s="40" customFormat="1" ht="36" customHeight="1">
      <c r="A56" s="100">
        <v>26</v>
      </c>
      <c r="B56" s="147"/>
      <c r="C56" s="147"/>
      <c r="D56" s="61" t="s">
        <v>204</v>
      </c>
      <c r="E56" s="144" t="s">
        <v>367</v>
      </c>
      <c r="F56" s="62"/>
      <c r="G56" s="63"/>
      <c r="H56" s="98" t="s">
        <v>198</v>
      </c>
      <c r="I56" s="98"/>
      <c r="J56" s="98"/>
      <c r="K56" s="98"/>
      <c r="L56" s="98"/>
      <c r="M56" s="98"/>
      <c r="N56" s="98"/>
      <c r="O56" s="98"/>
      <c r="P56" s="69">
        <v>15</v>
      </c>
      <c r="Q56" s="69" t="s">
        <v>209</v>
      </c>
      <c r="R56" s="69"/>
      <c r="S56" s="70">
        <v>0</v>
      </c>
      <c r="T56" s="71">
        <v>0</v>
      </c>
      <c r="U56" s="76">
        <f>12653/30</f>
        <v>421.76666666666665</v>
      </c>
      <c r="V56" s="77">
        <f>TRUNC(U56*P56,2)</f>
        <v>6326.5</v>
      </c>
      <c r="W56" s="78">
        <f>TRUNC(U56*P56*0.04,2)</f>
        <v>253.06</v>
      </c>
      <c r="X56" s="77">
        <f>TRUNC(U56*0.07*P56,2)</f>
        <v>442.85</v>
      </c>
      <c r="Y56" s="79">
        <f>S56</f>
        <v>0</v>
      </c>
      <c r="Z56" s="77">
        <f>TRUNC(X56+W56+(IF(Y56&gt;519,519,Y56))+IF(R56=0,0,R56*U56),2)</f>
        <v>695.91</v>
      </c>
      <c r="AA56" s="77">
        <f>TRUNC((IF(R56=0,P56*U56,(P56-R56)*U56))+(IF(Y56&lt;519,0,Y56-519)),2)+T56</f>
        <v>6326.5</v>
      </c>
      <c r="AB56" s="77">
        <f>Z56+AA56</f>
        <v>7022.41</v>
      </c>
      <c r="AC56" s="77"/>
      <c r="AD56" s="77"/>
      <c r="AE56" s="77">
        <v>0</v>
      </c>
      <c r="AF56" s="80">
        <f>IF(U56&gt;0.01,(AA56-VLOOKUP(AA56,quincenal,1))*VLOOKUP(AA56,quincenal,3)+VLOOKUP(AA56,quincenal,2)-VLOOKUP(AA56,subquincenal,2),0)</f>
        <v>804.15122400000007</v>
      </c>
      <c r="AG56" s="77">
        <f>TRUNC(IF(AF56&gt;0.01,AF56,0),2)</f>
        <v>804.15</v>
      </c>
      <c r="AH56" s="81">
        <f>TRUNC(IF(AF56&lt;0.01,-AF56,0),2)</f>
        <v>0</v>
      </c>
      <c r="AI56" s="81">
        <f>AB56-AD56-AE56-AG56+AH56</f>
        <v>6218.26</v>
      </c>
      <c r="AJ56" s="132"/>
      <c r="AK56" s="40">
        <v>31</v>
      </c>
    </row>
    <row r="57" spans="1:39" s="40" customFormat="1" ht="36" customHeight="1">
      <c r="A57" s="100">
        <v>27</v>
      </c>
      <c r="B57" s="147"/>
      <c r="C57" s="147"/>
      <c r="D57" s="61" t="s">
        <v>187</v>
      </c>
      <c r="E57" s="140" t="s">
        <v>163</v>
      </c>
      <c r="F57" s="140" t="s">
        <v>188</v>
      </c>
      <c r="G57" s="141">
        <v>37987</v>
      </c>
      <c r="H57" s="102" t="s">
        <v>36</v>
      </c>
      <c r="I57" s="102"/>
      <c r="J57" s="102"/>
      <c r="K57" s="102"/>
      <c r="L57" s="102"/>
      <c r="M57" s="102"/>
      <c r="N57" s="102"/>
      <c r="O57" s="102"/>
      <c r="P57" s="127">
        <v>15</v>
      </c>
      <c r="Q57" s="127" t="s">
        <v>209</v>
      </c>
      <c r="R57" s="127"/>
      <c r="S57" s="132">
        <v>0</v>
      </c>
      <c r="T57" s="133">
        <v>0</v>
      </c>
      <c r="U57" s="76">
        <v>295.625</v>
      </c>
      <c r="V57" s="79">
        <f t="shared" ref="V57:V59" si="65">TRUNC(U57*P57,2)</f>
        <v>4434.37</v>
      </c>
      <c r="W57" s="135">
        <f t="shared" ref="W57:W59" si="66">TRUNC(U57*P57*0.04,2)</f>
        <v>177.37</v>
      </c>
      <c r="X57" s="79">
        <f t="shared" ref="X57:X59" si="67">TRUNC(U57*0.07*P57,2)</f>
        <v>310.39999999999998</v>
      </c>
      <c r="Y57" s="79">
        <f t="shared" ref="Y57:Y59" si="68">S57</f>
        <v>0</v>
      </c>
      <c r="Z57" s="79">
        <f t="shared" ref="Z57:Z59" si="69">TRUNC(X57+W57+(IF(Y57&gt;519,519,Y57))+IF(R57=0,0,R57*U57),2)</f>
        <v>487.77</v>
      </c>
      <c r="AA57" s="79">
        <f t="shared" ref="AA57:AA59" si="70">TRUNC((IF(R57=0,P57*U57,(P57-R57)*U57))+(IF(Y57&lt;519,0,Y57-519)),2)+T57</f>
        <v>4434.37</v>
      </c>
      <c r="AB57" s="79">
        <f t="shared" ref="AB57:AB59" si="71">Z57+AA57</f>
        <v>4922.1399999999994</v>
      </c>
      <c r="AC57" s="79"/>
      <c r="AD57" s="79"/>
      <c r="AE57" s="79">
        <v>0</v>
      </c>
      <c r="AF57" s="80">
        <f t="shared" ref="AF57" si="72">IF(U57&gt;0.01,(AA57-VLOOKUP(AA57,quincenal,1))*VLOOKUP(AA57,quincenal,3)+VLOOKUP(AA57,quincenal,2)-VLOOKUP(AA57,subquincenal,2),0)</f>
        <v>422.14459200000005</v>
      </c>
      <c r="AG57" s="79">
        <f t="shared" ref="AG57:AG59" si="73">TRUNC(IF(AF57&gt;0.01,AF57,0),2)</f>
        <v>422.14</v>
      </c>
      <c r="AH57" s="136">
        <f t="shared" ref="AH57:AH59" si="74">TRUNC(IF(AF57&lt;0.01,-AF57,0),2)</f>
        <v>0</v>
      </c>
      <c r="AI57" s="136">
        <f t="shared" ref="AI57:AI59" si="75">AB57-AD57-AE57-AG57+AH57</f>
        <v>4499.9999999999991</v>
      </c>
      <c r="AJ57" s="132"/>
      <c r="AK57" s="40">
        <v>32</v>
      </c>
    </row>
    <row r="58" spans="1:39" s="40" customFormat="1" ht="36" customHeight="1">
      <c r="A58" s="100">
        <v>28</v>
      </c>
      <c r="B58" s="147"/>
      <c r="C58" s="147"/>
      <c r="D58" s="61" t="s">
        <v>446</v>
      </c>
      <c r="E58" s="140"/>
      <c r="F58" s="140"/>
      <c r="G58" s="141"/>
      <c r="H58" s="158" t="s">
        <v>447</v>
      </c>
      <c r="I58" s="158"/>
      <c r="J58" s="158"/>
      <c r="K58" s="158"/>
      <c r="L58" s="158"/>
      <c r="M58" s="158"/>
      <c r="N58" s="158"/>
      <c r="O58" s="158"/>
      <c r="P58" s="127">
        <v>15</v>
      </c>
      <c r="Q58" s="127" t="s">
        <v>209</v>
      </c>
      <c r="R58" s="127"/>
      <c r="S58" s="132">
        <v>0</v>
      </c>
      <c r="T58" s="133">
        <v>0</v>
      </c>
      <c r="U58" s="76">
        <f>4615/30</f>
        <v>153.83333333333334</v>
      </c>
      <c r="V58" s="79">
        <f>TRUNC(U58*P58,2)</f>
        <v>2307.5</v>
      </c>
      <c r="W58" s="135">
        <f>TRUNC(U58*P58*0.04,2)</f>
        <v>92.3</v>
      </c>
      <c r="X58" s="79">
        <f>TRUNC(U58*0.07*P58,2)</f>
        <v>161.52000000000001</v>
      </c>
      <c r="Y58" s="79">
        <f>S58</f>
        <v>0</v>
      </c>
      <c r="Z58" s="79">
        <f>TRUNC(X58+W58+(IF(Y58&gt;519,519,Y58))+IF(R58=0,0,R58*U58),2)</f>
        <v>253.82</v>
      </c>
      <c r="AA58" s="79">
        <f>TRUNC((IF(R58=0,P58*U58,(P58-R58)*U58))+(IF(Y58&lt;519,0,Y58-519)),2)+T58</f>
        <v>2307.5</v>
      </c>
      <c r="AB58" s="79">
        <f>Z58+AA58</f>
        <v>2561.3200000000002</v>
      </c>
      <c r="AC58" s="79"/>
      <c r="AD58" s="79">
        <v>0</v>
      </c>
      <c r="AE58" s="79"/>
      <c r="AF58" s="80">
        <f>IF(U58&gt;0.01,(AA58-VLOOKUP(AA58,quincenal,1))*VLOOKUP(AA58,quincenal,3)+VLOOKUP(AA58,quincenal,2)-VLOOKUP(AA58,subquincenal,2),0)</f>
        <v>-27.77708800000002</v>
      </c>
      <c r="AG58" s="79">
        <f t="shared" si="73"/>
        <v>0</v>
      </c>
      <c r="AH58" s="136">
        <f t="shared" si="74"/>
        <v>27.77</v>
      </c>
      <c r="AI58" s="136">
        <f>AB58-AD58-AE58-AG58+AH58</f>
        <v>2589.09</v>
      </c>
      <c r="AJ58" s="132"/>
      <c r="AK58" s="40">
        <v>33</v>
      </c>
    </row>
    <row r="59" spans="1:39" s="40" customFormat="1" ht="36" customHeight="1">
      <c r="A59" s="100">
        <v>28</v>
      </c>
      <c r="B59" s="147"/>
      <c r="C59" s="147"/>
      <c r="D59" s="61" t="s">
        <v>261</v>
      </c>
      <c r="E59" s="62"/>
      <c r="F59" s="62"/>
      <c r="G59" s="63"/>
      <c r="H59" s="98" t="s">
        <v>351</v>
      </c>
      <c r="I59" s="98"/>
      <c r="J59" s="98"/>
      <c r="K59" s="98"/>
      <c r="L59" s="98"/>
      <c r="M59" s="98"/>
      <c r="N59" s="98"/>
      <c r="O59" s="98"/>
      <c r="P59" s="127">
        <v>15</v>
      </c>
      <c r="Q59" s="127" t="s">
        <v>209</v>
      </c>
      <c r="R59" s="127"/>
      <c r="S59" s="132">
        <v>0</v>
      </c>
      <c r="T59" s="133">
        <v>0</v>
      </c>
      <c r="U59" s="76">
        <f>8445/30</f>
        <v>281.5</v>
      </c>
      <c r="V59" s="79">
        <f t="shared" si="65"/>
        <v>4222.5</v>
      </c>
      <c r="W59" s="135">
        <f t="shared" si="66"/>
        <v>168.9</v>
      </c>
      <c r="X59" s="79">
        <f t="shared" si="67"/>
        <v>295.57</v>
      </c>
      <c r="Y59" s="79">
        <f t="shared" si="68"/>
        <v>0</v>
      </c>
      <c r="Z59" s="79">
        <f t="shared" si="69"/>
        <v>464.47</v>
      </c>
      <c r="AA59" s="79">
        <f t="shared" si="70"/>
        <v>4222.5</v>
      </c>
      <c r="AB59" s="79">
        <f t="shared" si="71"/>
        <v>4686.97</v>
      </c>
      <c r="AC59" s="79"/>
      <c r="AD59" s="79"/>
      <c r="AE59" s="79">
        <v>0</v>
      </c>
      <c r="AF59" s="80">
        <f t="shared" ref="AF59" si="76">IF(U59&gt;0.01,(AA59-VLOOKUP(AA59,quincenal,1))*VLOOKUP(AA59,quincenal,3)+VLOOKUP(AA59,quincenal,2)-VLOOKUP(AA59,subquincenal,2),0)</f>
        <v>384.6884</v>
      </c>
      <c r="AG59" s="79">
        <f t="shared" si="73"/>
        <v>384.68</v>
      </c>
      <c r="AH59" s="136">
        <f t="shared" si="74"/>
        <v>0</v>
      </c>
      <c r="AI59" s="136">
        <f t="shared" si="75"/>
        <v>4302.29</v>
      </c>
      <c r="AJ59" s="132"/>
      <c r="AK59" s="40">
        <v>37</v>
      </c>
    </row>
    <row r="60" spans="1:39" s="40" customFormat="1" ht="12.75">
      <c r="A60" s="100"/>
      <c r="B60" s="147"/>
      <c r="C60" s="147"/>
      <c r="D60" s="91" t="s">
        <v>35</v>
      </c>
      <c r="E60" s="43"/>
      <c r="F60" s="43"/>
      <c r="G60" s="44"/>
      <c r="H60" s="92"/>
      <c r="I60" s="92"/>
      <c r="J60" s="92"/>
      <c r="K60" s="92"/>
      <c r="L60" s="92"/>
      <c r="M60" s="92"/>
      <c r="N60" s="92"/>
      <c r="O60" s="92"/>
      <c r="P60" s="49"/>
      <c r="Q60" s="49"/>
      <c r="R60" s="49"/>
      <c r="S60" s="50"/>
      <c r="T60" s="51"/>
      <c r="U60" s="93"/>
      <c r="V60" s="94">
        <f>SUM(V56:V59)</f>
        <v>17290.87</v>
      </c>
      <c r="W60" s="94">
        <f t="shared" ref="W60:AI60" si="77">SUM(W56:W59)</f>
        <v>691.63</v>
      </c>
      <c r="X60" s="94">
        <f t="shared" si="77"/>
        <v>1210.3399999999999</v>
      </c>
      <c r="Y60" s="94">
        <f t="shared" si="77"/>
        <v>0</v>
      </c>
      <c r="Z60" s="94">
        <f t="shared" si="77"/>
        <v>1901.9699999999998</v>
      </c>
      <c r="AA60" s="94">
        <f t="shared" si="77"/>
        <v>17290.87</v>
      </c>
      <c r="AB60" s="94">
        <f t="shared" si="77"/>
        <v>19192.84</v>
      </c>
      <c r="AC60" s="94">
        <f t="shared" si="77"/>
        <v>0</v>
      </c>
      <c r="AD60" s="94">
        <f t="shared" si="77"/>
        <v>0</v>
      </c>
      <c r="AE60" s="94">
        <f t="shared" si="77"/>
        <v>0</v>
      </c>
      <c r="AF60" s="94">
        <f t="shared" si="77"/>
        <v>1583.207128</v>
      </c>
      <c r="AG60" s="94">
        <f t="shared" si="77"/>
        <v>1610.97</v>
      </c>
      <c r="AH60" s="94">
        <f t="shared" si="77"/>
        <v>27.77</v>
      </c>
      <c r="AI60" s="94">
        <f t="shared" si="77"/>
        <v>17609.64</v>
      </c>
      <c r="AJ60" s="50"/>
    </row>
    <row r="61" spans="1:39" s="40" customFormat="1">
      <c r="A61" s="100"/>
      <c r="B61" s="147"/>
      <c r="C61" s="147"/>
      <c r="D61" s="122"/>
      <c r="E61" s="43"/>
      <c r="F61" s="43"/>
      <c r="G61" s="44"/>
      <c r="H61" s="92"/>
      <c r="I61" s="92"/>
      <c r="J61" s="92"/>
      <c r="K61" s="92"/>
      <c r="L61" s="92"/>
      <c r="M61" s="92"/>
      <c r="N61" s="92"/>
      <c r="O61" s="92"/>
      <c r="P61" s="49"/>
      <c r="Q61" s="49"/>
      <c r="R61" s="49"/>
      <c r="S61" s="50"/>
      <c r="T61" s="51"/>
      <c r="U61" s="93"/>
      <c r="V61" s="83"/>
      <c r="W61" s="148"/>
      <c r="X61" s="83"/>
      <c r="Y61" s="139"/>
      <c r="Z61" s="83"/>
      <c r="AA61" s="83"/>
      <c r="AB61" s="83"/>
      <c r="AC61" s="83"/>
      <c r="AD61" s="83"/>
      <c r="AE61" s="83"/>
      <c r="AF61" s="87"/>
      <c r="AG61" s="83"/>
      <c r="AH61" s="149"/>
      <c r="AI61" s="149"/>
      <c r="AJ61" s="50"/>
    </row>
    <row r="62" spans="1:39" s="40" customFormat="1" ht="12.75">
      <c r="A62" s="100"/>
      <c r="B62" s="147"/>
      <c r="C62" s="147"/>
      <c r="D62" s="91" t="s">
        <v>479</v>
      </c>
      <c r="E62" s="43"/>
      <c r="F62" s="43"/>
      <c r="G62" s="44"/>
      <c r="H62" s="92"/>
      <c r="I62" s="92"/>
      <c r="J62" s="92"/>
      <c r="K62" s="92"/>
      <c r="L62" s="92"/>
      <c r="M62" s="92"/>
      <c r="N62" s="92"/>
      <c r="O62" s="92"/>
      <c r="P62" s="49"/>
      <c r="Q62" s="49"/>
      <c r="R62" s="49"/>
      <c r="S62" s="50"/>
      <c r="T62" s="51"/>
      <c r="U62" s="93"/>
      <c r="V62" s="83"/>
      <c r="W62" s="148"/>
      <c r="X62" s="83"/>
      <c r="Y62" s="139"/>
      <c r="Z62" s="83"/>
      <c r="AA62" s="83"/>
      <c r="AB62" s="83"/>
      <c r="AC62" s="83"/>
      <c r="AD62" s="83"/>
      <c r="AE62" s="83"/>
      <c r="AF62" s="87"/>
      <c r="AG62" s="83"/>
      <c r="AH62" s="149"/>
      <c r="AI62" s="149"/>
      <c r="AJ62" s="50"/>
    </row>
    <row r="63" spans="1:39" s="40" customFormat="1" ht="7.5" customHeight="1">
      <c r="A63" s="100">
        <v>30</v>
      </c>
      <c r="B63" s="68">
        <v>1</v>
      </c>
      <c r="C63" s="68">
        <v>19</v>
      </c>
      <c r="D63" s="61"/>
      <c r="E63" s="62"/>
      <c r="F63" s="62"/>
      <c r="G63" s="63"/>
      <c r="H63" s="98"/>
      <c r="I63" s="98"/>
      <c r="J63" s="98"/>
      <c r="K63" s="98"/>
      <c r="L63" s="98"/>
      <c r="M63" s="98"/>
      <c r="N63" s="98"/>
      <c r="O63" s="98"/>
      <c r="P63" s="69"/>
      <c r="Q63" s="69" t="s">
        <v>209</v>
      </c>
      <c r="R63" s="69"/>
      <c r="S63" s="70">
        <v>0</v>
      </c>
      <c r="T63" s="71">
        <v>0</v>
      </c>
      <c r="U63" s="76">
        <f>12653/30</f>
        <v>421.76666666666665</v>
      </c>
      <c r="V63" s="77"/>
      <c r="W63" s="78"/>
      <c r="X63" s="77"/>
      <c r="Y63" s="79">
        <f>S63</f>
        <v>0</v>
      </c>
      <c r="Z63" s="77">
        <f>TRUNC(X63+W63+(IF(Y63&gt;519,519,Y63))+IF(R63=0,0,R63*U63),2)</f>
        <v>0</v>
      </c>
      <c r="AA63" s="77">
        <f>TRUNC((IF(R63=0,P63*U63,(P63-R63)*U63))+(IF(Y63&lt;519,0,Y63-519)),2)+T63</f>
        <v>0</v>
      </c>
      <c r="AB63" s="77">
        <f>Z63+AA63</f>
        <v>0</v>
      </c>
      <c r="AC63" s="77"/>
      <c r="AD63" s="77"/>
      <c r="AE63" s="77"/>
      <c r="AF63" s="80" t="e">
        <f>IF(U63&gt;0.01,(AA63-VLOOKUP(AA63,quincenal,1))*VLOOKUP(AA63,quincenal,3)+VLOOKUP(AA63,quincenal,2)-VLOOKUP(AA63,subquincenal,2),0)</f>
        <v>#N/A</v>
      </c>
      <c r="AG63" s="77"/>
      <c r="AH63" s="81"/>
      <c r="AI63" s="81"/>
      <c r="AJ63" s="70"/>
      <c r="AK63" s="40">
        <v>38</v>
      </c>
      <c r="AM63" s="87"/>
    </row>
    <row r="64" spans="1:39" s="40" customFormat="1" ht="12.75">
      <c r="A64" s="100"/>
      <c r="B64" s="147"/>
      <c r="C64" s="147"/>
      <c r="D64" s="91" t="s">
        <v>479</v>
      </c>
      <c r="E64" s="43"/>
      <c r="F64" s="43"/>
      <c r="G64" s="44"/>
      <c r="H64" s="92"/>
      <c r="I64" s="92"/>
      <c r="J64" s="92"/>
      <c r="K64" s="92"/>
      <c r="L64" s="92"/>
      <c r="M64" s="92"/>
      <c r="N64" s="92"/>
      <c r="O64" s="92"/>
      <c r="P64" s="49"/>
      <c r="Q64" s="49"/>
      <c r="R64" s="49"/>
      <c r="S64" s="50"/>
      <c r="T64" s="51"/>
      <c r="U64" s="93"/>
      <c r="V64" s="94">
        <f t="shared" ref="V64:AI64" si="78">SUM(V63:V63)</f>
        <v>0</v>
      </c>
      <c r="W64" s="94">
        <f t="shared" si="78"/>
        <v>0</v>
      </c>
      <c r="X64" s="94">
        <f t="shared" si="78"/>
        <v>0</v>
      </c>
      <c r="Y64" s="94">
        <f t="shared" si="78"/>
        <v>0</v>
      </c>
      <c r="Z64" s="94">
        <f t="shared" si="78"/>
        <v>0</v>
      </c>
      <c r="AA64" s="94">
        <f t="shared" si="78"/>
        <v>0</v>
      </c>
      <c r="AB64" s="94">
        <f t="shared" si="78"/>
        <v>0</v>
      </c>
      <c r="AC64" s="94">
        <f t="shared" si="78"/>
        <v>0</v>
      </c>
      <c r="AD64" s="94">
        <f t="shared" si="78"/>
        <v>0</v>
      </c>
      <c r="AE64" s="94">
        <f t="shared" si="78"/>
        <v>0</v>
      </c>
      <c r="AF64" s="94" t="e">
        <f t="shared" si="78"/>
        <v>#N/A</v>
      </c>
      <c r="AG64" s="94">
        <f t="shared" si="78"/>
        <v>0</v>
      </c>
      <c r="AH64" s="94">
        <f t="shared" si="78"/>
        <v>0</v>
      </c>
      <c r="AI64" s="94">
        <f t="shared" si="78"/>
        <v>0</v>
      </c>
      <c r="AJ64" s="50"/>
    </row>
    <row r="65" spans="1:39" s="40" customFormat="1" ht="12.75">
      <c r="A65" s="100"/>
      <c r="B65" s="147"/>
      <c r="C65" s="147"/>
      <c r="D65" s="91"/>
      <c r="E65" s="43"/>
      <c r="F65" s="43"/>
      <c r="G65" s="44"/>
      <c r="H65" s="92"/>
      <c r="I65" s="92"/>
      <c r="J65" s="92"/>
      <c r="K65" s="92"/>
      <c r="L65" s="92"/>
      <c r="M65" s="92"/>
      <c r="N65" s="92"/>
      <c r="O65" s="92"/>
      <c r="P65" s="49"/>
      <c r="Q65" s="49"/>
      <c r="R65" s="49"/>
      <c r="S65" s="50"/>
      <c r="T65" s="51"/>
      <c r="U65" s="93"/>
      <c r="V65" s="94"/>
      <c r="W65" s="94"/>
      <c r="X65" s="94"/>
      <c r="Y65" s="94"/>
      <c r="Z65" s="94"/>
      <c r="AA65" s="94"/>
      <c r="AB65" s="94"/>
      <c r="AC65" s="94"/>
      <c r="AD65" s="86"/>
      <c r="AE65" s="86"/>
      <c r="AF65" s="94"/>
      <c r="AG65" s="94"/>
      <c r="AH65" s="94"/>
      <c r="AI65" s="94"/>
      <c r="AJ65" s="50"/>
    </row>
    <row r="66" spans="1:39" s="40" customFormat="1" ht="12.75">
      <c r="A66" s="100"/>
      <c r="B66" s="147"/>
      <c r="C66" s="147"/>
      <c r="D66" s="91" t="s">
        <v>260</v>
      </c>
      <c r="E66" s="43"/>
      <c r="F66" s="43"/>
      <c r="G66" s="44"/>
      <c r="H66" s="92"/>
      <c r="I66" s="92"/>
      <c r="J66" s="92"/>
      <c r="K66" s="92"/>
      <c r="L66" s="92"/>
      <c r="M66" s="92"/>
      <c r="N66" s="92"/>
      <c r="O66" s="92"/>
      <c r="P66" s="49"/>
      <c r="Q66" s="49"/>
      <c r="R66" s="49"/>
      <c r="S66" s="50"/>
      <c r="T66" s="51"/>
      <c r="U66" s="93"/>
      <c r="V66" s="94"/>
      <c r="W66" s="94"/>
      <c r="X66" s="94"/>
      <c r="Y66" s="94"/>
      <c r="Z66" s="94"/>
      <c r="AA66" s="94"/>
      <c r="AB66" s="94"/>
      <c r="AC66" s="94"/>
      <c r="AD66" s="86"/>
      <c r="AE66" s="86"/>
      <c r="AF66" s="94"/>
      <c r="AG66" s="94"/>
      <c r="AH66" s="94"/>
      <c r="AI66" s="94"/>
      <c r="AJ66" s="50"/>
    </row>
    <row r="67" spans="1:39" s="40" customFormat="1" ht="36" customHeight="1">
      <c r="A67" s="100">
        <v>30</v>
      </c>
      <c r="B67" s="68"/>
      <c r="C67" s="68"/>
      <c r="D67" s="61" t="s">
        <v>420</v>
      </c>
      <c r="E67" s="62"/>
      <c r="F67" s="62"/>
      <c r="G67" s="63"/>
      <c r="H67" s="98" t="s">
        <v>421</v>
      </c>
      <c r="I67" s="98"/>
      <c r="J67" s="98"/>
      <c r="K67" s="98"/>
      <c r="L67" s="98"/>
      <c r="M67" s="98"/>
      <c r="N67" s="98"/>
      <c r="O67" s="98"/>
      <c r="P67" s="69">
        <v>15</v>
      </c>
      <c r="Q67" s="69" t="s">
        <v>209</v>
      </c>
      <c r="R67" s="69"/>
      <c r="S67" s="70">
        <v>0</v>
      </c>
      <c r="T67" s="71">
        <v>0</v>
      </c>
      <c r="U67" s="76">
        <f>6795/30</f>
        <v>226.5</v>
      </c>
      <c r="V67" s="77">
        <f>TRUNC(U67*P67,2)</f>
        <v>3397.5</v>
      </c>
      <c r="W67" s="78">
        <f>TRUNC(U67*P67*0.04,2)</f>
        <v>135.9</v>
      </c>
      <c r="X67" s="77">
        <f>TRUNC(U67*0.07*P67,2)</f>
        <v>237.82</v>
      </c>
      <c r="Y67" s="79">
        <f>S67</f>
        <v>0</v>
      </c>
      <c r="Z67" s="77">
        <f>TRUNC(X67+W67+(IF(Y67&gt;519,519,Y67))+IF(R67=0,0,R67*U67),2)</f>
        <v>373.72</v>
      </c>
      <c r="AA67" s="77">
        <f>TRUNC((IF(R67=0,P67*U67,(P67-R67)*U67))+(IF(Y67&lt;519,0,Y67-519)),2)+T67</f>
        <v>3397.5</v>
      </c>
      <c r="AB67" s="77">
        <f>Z67+AA67</f>
        <v>3771.2200000000003</v>
      </c>
      <c r="AC67" s="77"/>
      <c r="AD67" s="77"/>
      <c r="AE67" s="77">
        <v>0</v>
      </c>
      <c r="AF67" s="80">
        <f>IF(U67&gt;0.01,(AA67-VLOOKUP(AA67,quincenal,1))*VLOOKUP(AA67,quincenal,3)+VLOOKUP(AA67,quincenal,2)-VLOOKUP(AA67,subquincenal,2),0)</f>
        <v>140.464912</v>
      </c>
      <c r="AG67" s="77">
        <f>TRUNC(IF(AF67&gt;0.01,AF67,0),2)</f>
        <v>140.46</v>
      </c>
      <c r="AH67" s="81">
        <f>TRUNC(IF(AF67&lt;0.01,-AF67,0),2)</f>
        <v>0</v>
      </c>
      <c r="AI67" s="81">
        <f>AB67-AD67-AE67-AG67+AH67</f>
        <v>3630.76</v>
      </c>
      <c r="AJ67" s="70"/>
      <c r="AK67" s="40">
        <v>41</v>
      </c>
    </row>
    <row r="68" spans="1:39" s="40" customFormat="1" ht="36" customHeight="1">
      <c r="A68" s="100">
        <v>31</v>
      </c>
      <c r="B68" s="68"/>
      <c r="C68" s="68"/>
      <c r="D68" s="61" t="s">
        <v>513</v>
      </c>
      <c r="E68" s="62"/>
      <c r="F68" s="62"/>
      <c r="G68" s="63"/>
      <c r="H68" s="98" t="s">
        <v>480</v>
      </c>
      <c r="I68" s="98"/>
      <c r="J68" s="98"/>
      <c r="K68" s="98"/>
      <c r="L68" s="98"/>
      <c r="M68" s="98"/>
      <c r="N68" s="98"/>
      <c r="O68" s="98"/>
      <c r="P68" s="69">
        <v>15</v>
      </c>
      <c r="Q68" s="69" t="s">
        <v>209</v>
      </c>
      <c r="R68" s="69"/>
      <c r="S68" s="70">
        <v>0</v>
      </c>
      <c r="T68" s="71">
        <v>0</v>
      </c>
      <c r="U68" s="76">
        <f>8121/30</f>
        <v>270.7</v>
      </c>
      <c r="V68" s="77">
        <f>TRUNC(U68*P68,2)</f>
        <v>4060.5</v>
      </c>
      <c r="W68" s="78">
        <f>TRUNC(U68*P68*0.04,2)</f>
        <v>162.41999999999999</v>
      </c>
      <c r="X68" s="77">
        <f>TRUNC(U68*0.07*P68,2)</f>
        <v>284.23</v>
      </c>
      <c r="Y68" s="79">
        <f>S68</f>
        <v>0</v>
      </c>
      <c r="Z68" s="77">
        <f>TRUNC(X68+W68+(IF(Y68&gt;519,519,Y68))+IF(R68=0,0,R68*U68),2)</f>
        <v>446.65</v>
      </c>
      <c r="AA68" s="77">
        <f>TRUNC((IF(R68=0,P68*U68,(P68-R68)*U68))+(IF(Y68&lt;519,0,Y68-519)),2)+T68</f>
        <v>4060.5</v>
      </c>
      <c r="AB68" s="77">
        <f>Z68+AA68</f>
        <v>4507.1499999999996</v>
      </c>
      <c r="AC68" s="77"/>
      <c r="AD68" s="77"/>
      <c r="AE68" s="77">
        <v>0</v>
      </c>
      <c r="AF68" s="80">
        <f>IF(U68&gt;0.01,(AA68-VLOOKUP(AA68,quincenal,1))*VLOOKUP(AA68,quincenal,3)+VLOOKUP(AA68,quincenal,2)-VLOOKUP(AA68,subquincenal,2),0)</f>
        <v>358.76839999999999</v>
      </c>
      <c r="AG68" s="77">
        <f>TRUNC(IF(AF68&gt;0.01,AF68,0),2)</f>
        <v>358.76</v>
      </c>
      <c r="AH68" s="81">
        <f>TRUNC(IF(AF68&lt;0.01,-AF68,0),2)</f>
        <v>0</v>
      </c>
      <c r="AI68" s="81">
        <f>AB68-AD68-AE68-AG68+AH68</f>
        <v>4148.3899999999994</v>
      </c>
      <c r="AJ68" s="70"/>
      <c r="AK68" s="40">
        <v>42</v>
      </c>
    </row>
    <row r="69" spans="1:39" s="40" customFormat="1" ht="36" customHeight="1">
      <c r="A69" s="100">
        <v>32</v>
      </c>
      <c r="B69" s="68"/>
      <c r="C69" s="68"/>
      <c r="D69" s="61" t="s">
        <v>416</v>
      </c>
      <c r="E69" s="62"/>
      <c r="F69" s="62"/>
      <c r="G69" s="63"/>
      <c r="H69" s="98" t="s">
        <v>410</v>
      </c>
      <c r="I69" s="98"/>
      <c r="J69" s="98"/>
      <c r="K69" s="98"/>
      <c r="L69" s="98"/>
      <c r="M69" s="98"/>
      <c r="N69" s="98"/>
      <c r="O69" s="98"/>
      <c r="P69" s="69">
        <v>15</v>
      </c>
      <c r="Q69" s="69" t="s">
        <v>209</v>
      </c>
      <c r="R69" s="69"/>
      <c r="S69" s="70">
        <v>0</v>
      </c>
      <c r="T69" s="71">
        <v>0</v>
      </c>
      <c r="U69" s="76">
        <f>5714/30</f>
        <v>190.46666666666667</v>
      </c>
      <c r="V69" s="77">
        <f>TRUNC(U69*P69,2)</f>
        <v>2857</v>
      </c>
      <c r="W69" s="78">
        <f>TRUNC(U69*P69*0.04,2)</f>
        <v>114.28</v>
      </c>
      <c r="X69" s="77">
        <f>TRUNC(U69*0.07*P69,2)</f>
        <v>199.99</v>
      </c>
      <c r="Y69" s="79">
        <f>S69</f>
        <v>0</v>
      </c>
      <c r="Z69" s="77">
        <f>TRUNC(X69+W69+(IF(Y69&gt;519,519,Y69))+IF(R69=0,0,R69*U69),2)</f>
        <v>314.27</v>
      </c>
      <c r="AA69" s="77">
        <f>TRUNC((IF(R69=0,P69*U69,(P69-R69)*U69))+(IF(Y69&lt;519,0,Y69-519)),2)+T69</f>
        <v>2857</v>
      </c>
      <c r="AB69" s="77">
        <f>Z69+AA69</f>
        <v>3171.27</v>
      </c>
      <c r="AC69" s="77"/>
      <c r="AD69" s="77"/>
      <c r="AE69" s="77">
        <v>0</v>
      </c>
      <c r="AF69" s="80">
        <f>IF(U69&gt;0.01,(AA69-VLOOKUP(AA69,quincenal,1))*VLOOKUP(AA69,quincenal,3)+VLOOKUP(AA69,quincenal,2)-VLOOKUP(AA69,subquincenal,2),0)</f>
        <v>61.408511999999973</v>
      </c>
      <c r="AG69" s="77">
        <f>TRUNC(IF(AF69&gt;0.01,AF69,0),2)</f>
        <v>61.4</v>
      </c>
      <c r="AH69" s="81">
        <f>TRUNC(IF(AF69&lt;0.01,-AF69,0),2)</f>
        <v>0</v>
      </c>
      <c r="AI69" s="81">
        <f>AB69-AD69-AE69-AG69+AH69</f>
        <v>3109.87</v>
      </c>
      <c r="AJ69" s="70"/>
      <c r="AK69" s="40">
        <v>43</v>
      </c>
    </row>
    <row r="70" spans="1:39" s="40" customFormat="1" ht="36" customHeight="1">
      <c r="A70" s="100">
        <v>33</v>
      </c>
      <c r="B70" s="68"/>
      <c r="C70" s="68"/>
      <c r="D70" s="61" t="s">
        <v>465</v>
      </c>
      <c r="E70" s="62"/>
      <c r="F70" s="62"/>
      <c r="G70" s="63"/>
      <c r="H70" s="98" t="s">
        <v>466</v>
      </c>
      <c r="I70" s="98"/>
      <c r="J70" s="98"/>
      <c r="K70" s="98"/>
      <c r="L70" s="98"/>
      <c r="M70" s="98"/>
      <c r="N70" s="98"/>
      <c r="O70" s="98"/>
      <c r="P70" s="69">
        <v>15</v>
      </c>
      <c r="Q70" s="69" t="s">
        <v>209</v>
      </c>
      <c r="R70" s="69"/>
      <c r="S70" s="70">
        <v>0</v>
      </c>
      <c r="T70" s="71">
        <v>0</v>
      </c>
      <c r="U70" s="76">
        <v>260.28699999999998</v>
      </c>
      <c r="V70" s="77">
        <f>TRUNC(U70*P70,2)</f>
        <v>3904.3</v>
      </c>
      <c r="W70" s="78">
        <f>TRUNC(U70*P70*0.04,2)</f>
        <v>156.16999999999999</v>
      </c>
      <c r="X70" s="77">
        <f>TRUNC(U70*0.07*P70,2)</f>
        <v>273.3</v>
      </c>
      <c r="Y70" s="79">
        <f>S70</f>
        <v>0</v>
      </c>
      <c r="Z70" s="77">
        <f>TRUNC(X70+W70+(IF(Y70&gt;519,519,Y70))+IF(R70=0,0,R70*U70),2)</f>
        <v>429.47</v>
      </c>
      <c r="AA70" s="77">
        <f>TRUNC((IF(R70=0,P70*U70,(P70-R70)*U70))+(IF(Y70&lt;519,0,Y70-519)),2)+T70</f>
        <v>3904.3</v>
      </c>
      <c r="AB70" s="77">
        <f>Z70+AA70</f>
        <v>4333.7700000000004</v>
      </c>
      <c r="AC70" s="77"/>
      <c r="AD70" s="77"/>
      <c r="AE70" s="77">
        <v>0</v>
      </c>
      <c r="AF70" s="80">
        <f>IF(U70&gt;0.01,(AA70-VLOOKUP(AA70,quincenal,1))*VLOOKUP(AA70,quincenal,3)+VLOOKUP(AA70,quincenal,2)-VLOOKUP(AA70,subquincenal,2),0)</f>
        <v>333.77639999999997</v>
      </c>
      <c r="AG70" s="77">
        <f>TRUNC(IF(AF70&gt;0.01,AF70,0),2)</f>
        <v>333.77</v>
      </c>
      <c r="AH70" s="81">
        <f>TRUNC(IF(AF70&lt;0.01,-AF70,0),2)</f>
        <v>0</v>
      </c>
      <c r="AI70" s="81">
        <f>AB70-AD70-AE70-AG70+AH70</f>
        <v>4000.0000000000005</v>
      </c>
      <c r="AJ70" s="70"/>
      <c r="AK70" s="40">
        <v>44</v>
      </c>
      <c r="AM70" s="87"/>
    </row>
    <row r="71" spans="1:39" s="40" customFormat="1" ht="12.75">
      <c r="A71" s="100"/>
      <c r="B71" s="147"/>
      <c r="C71" s="147"/>
      <c r="D71" s="91" t="s">
        <v>260</v>
      </c>
      <c r="E71" s="43"/>
      <c r="F71" s="43"/>
      <c r="G71" s="44"/>
      <c r="H71" s="92"/>
      <c r="I71" s="92"/>
      <c r="J71" s="92"/>
      <c r="K71" s="92"/>
      <c r="L71" s="92"/>
      <c r="M71" s="92"/>
      <c r="N71" s="92"/>
      <c r="O71" s="92"/>
      <c r="P71" s="49"/>
      <c r="Q71" s="49"/>
      <c r="R71" s="49"/>
      <c r="S71" s="50"/>
      <c r="T71" s="51"/>
      <c r="U71" s="93"/>
      <c r="V71" s="86">
        <f>SUM(V67:V70)</f>
        <v>14219.3</v>
      </c>
      <c r="W71" s="86">
        <f t="shared" ref="W71:AI71" si="79">SUM(W67:W70)</f>
        <v>568.77</v>
      </c>
      <c r="X71" s="86">
        <f t="shared" si="79"/>
        <v>995.33999999999992</v>
      </c>
      <c r="Y71" s="86">
        <f t="shared" si="79"/>
        <v>0</v>
      </c>
      <c r="Z71" s="86">
        <f t="shared" si="79"/>
        <v>1564.11</v>
      </c>
      <c r="AA71" s="86">
        <f t="shared" si="79"/>
        <v>14219.3</v>
      </c>
      <c r="AB71" s="86">
        <f t="shared" si="79"/>
        <v>15783.41</v>
      </c>
      <c r="AC71" s="86">
        <f t="shared" si="79"/>
        <v>0</v>
      </c>
      <c r="AD71" s="86">
        <f t="shared" si="79"/>
        <v>0</v>
      </c>
      <c r="AE71" s="86">
        <f t="shared" si="79"/>
        <v>0</v>
      </c>
      <c r="AF71" s="86">
        <f t="shared" si="79"/>
        <v>894.4182239999999</v>
      </c>
      <c r="AG71" s="86">
        <f t="shared" si="79"/>
        <v>894.39</v>
      </c>
      <c r="AH71" s="86">
        <f t="shared" si="79"/>
        <v>0</v>
      </c>
      <c r="AI71" s="86">
        <f t="shared" si="79"/>
        <v>14889.02</v>
      </c>
      <c r="AJ71" s="50"/>
    </row>
    <row r="72" spans="1:39" s="40" customFormat="1" ht="12.75">
      <c r="A72" s="100"/>
      <c r="B72" s="147"/>
      <c r="C72" s="147"/>
      <c r="D72" s="91"/>
      <c r="E72" s="43"/>
      <c r="F72" s="43"/>
      <c r="G72" s="44"/>
      <c r="H72" s="92"/>
      <c r="I72" s="92"/>
      <c r="J72" s="92"/>
      <c r="K72" s="92"/>
      <c r="L72" s="92"/>
      <c r="M72" s="92"/>
      <c r="N72" s="92"/>
      <c r="O72" s="92"/>
      <c r="P72" s="49"/>
      <c r="Q72" s="49"/>
      <c r="R72" s="49"/>
      <c r="S72" s="50"/>
      <c r="T72" s="51"/>
      <c r="U72" s="93"/>
      <c r="V72" s="83"/>
      <c r="W72" s="148"/>
      <c r="X72" s="83"/>
      <c r="Y72" s="139"/>
      <c r="Z72" s="83"/>
      <c r="AA72" s="83"/>
      <c r="AB72" s="83"/>
      <c r="AC72" s="83"/>
      <c r="AD72" s="83"/>
      <c r="AE72" s="83"/>
      <c r="AF72" s="87"/>
      <c r="AG72" s="83"/>
      <c r="AH72" s="149"/>
      <c r="AI72" s="149"/>
      <c r="AJ72" s="50"/>
    </row>
    <row r="73" spans="1:39" s="40" customFormat="1" ht="12.75">
      <c r="A73" s="100"/>
      <c r="B73" s="147"/>
      <c r="C73" s="147"/>
      <c r="D73" s="91" t="s">
        <v>222</v>
      </c>
      <c r="E73" s="43"/>
      <c r="F73" s="43"/>
      <c r="G73" s="44"/>
      <c r="H73" s="92"/>
      <c r="I73" s="92"/>
      <c r="J73" s="92"/>
      <c r="K73" s="92"/>
      <c r="L73" s="92"/>
      <c r="M73" s="92"/>
      <c r="N73" s="92"/>
      <c r="O73" s="92"/>
      <c r="P73" s="49"/>
      <c r="Q73" s="49"/>
      <c r="R73" s="49"/>
      <c r="S73" s="50"/>
      <c r="T73" s="51"/>
      <c r="U73" s="93"/>
      <c r="V73" s="83"/>
      <c r="W73" s="148"/>
      <c r="X73" s="83"/>
      <c r="Y73" s="139"/>
      <c r="Z73" s="83"/>
      <c r="AA73" s="83"/>
      <c r="AB73" s="83"/>
      <c r="AC73" s="83"/>
      <c r="AD73" s="83"/>
      <c r="AE73" s="83"/>
      <c r="AF73" s="87"/>
      <c r="AG73" s="83"/>
      <c r="AH73" s="149"/>
      <c r="AI73" s="149"/>
      <c r="AJ73" s="50"/>
    </row>
    <row r="74" spans="1:39" s="40" customFormat="1" ht="36" customHeight="1">
      <c r="A74" s="100">
        <v>34</v>
      </c>
      <c r="B74" s="147"/>
      <c r="C74" s="147"/>
      <c r="D74" s="61" t="s">
        <v>389</v>
      </c>
      <c r="E74" s="62"/>
      <c r="F74" s="62"/>
      <c r="G74" s="63"/>
      <c r="H74" s="102" t="s">
        <v>37</v>
      </c>
      <c r="I74" s="102"/>
      <c r="J74" s="102"/>
      <c r="K74" s="102"/>
      <c r="L74" s="102"/>
      <c r="M74" s="102"/>
      <c r="N74" s="102"/>
      <c r="O74" s="102"/>
      <c r="P74" s="69">
        <v>15</v>
      </c>
      <c r="Q74" s="69" t="s">
        <v>209</v>
      </c>
      <c r="R74" s="69"/>
      <c r="S74" s="70">
        <v>0</v>
      </c>
      <c r="T74" s="71">
        <v>0</v>
      </c>
      <c r="U74" s="76">
        <f>14973/30</f>
        <v>499.1</v>
      </c>
      <c r="V74" s="77">
        <f t="shared" ref="V74:V77" si="80">TRUNC(U74*P74,2)</f>
        <v>7486.5</v>
      </c>
      <c r="W74" s="78">
        <f t="shared" ref="W74:W77" si="81">TRUNC(U74*P74*0.04,2)</f>
        <v>299.45999999999998</v>
      </c>
      <c r="X74" s="77">
        <f t="shared" ref="X74:X77" si="82">TRUNC(U74*0.07*P74,2)</f>
        <v>524.04999999999995</v>
      </c>
      <c r="Y74" s="79">
        <f t="shared" ref="Y74:Y77" si="83">S74</f>
        <v>0</v>
      </c>
      <c r="Z74" s="77">
        <f t="shared" ref="Z74:Z77" si="84">TRUNC(X74+W74+(IF(Y74&gt;519,519,Y74))+IF(R74=0,0,R74*U74),2)</f>
        <v>823.51</v>
      </c>
      <c r="AA74" s="77">
        <f t="shared" ref="AA74:AA77" si="85">TRUNC((IF(R74=0,P74*U74,(P74-R74)*U74))+(IF(Y74&lt;519,0,Y74-519)),2)+T74</f>
        <v>7486.5</v>
      </c>
      <c r="AB74" s="77">
        <f t="shared" ref="AB74:AB77" si="86">Z74+AA74</f>
        <v>8310.01</v>
      </c>
      <c r="AC74" s="77"/>
      <c r="AD74" s="77">
        <v>500</v>
      </c>
      <c r="AE74" s="77">
        <v>0</v>
      </c>
      <c r="AF74" s="80">
        <f t="shared" ref="AF74:AF77" si="87">IF(U74&gt;0.01,(AA74-VLOOKUP(AA74,quincenal,1))*VLOOKUP(AA74,quincenal,3)+VLOOKUP(AA74,quincenal,2)-VLOOKUP(AA74,subquincenal,2),0)</f>
        <v>1051.927224</v>
      </c>
      <c r="AG74" s="77">
        <f t="shared" ref="AG74:AG77" si="88">TRUNC(IF(AF74&gt;0.01,AF74,0),2)</f>
        <v>1051.92</v>
      </c>
      <c r="AH74" s="81">
        <f>TRUNC(IF(AF74&lt;0.01,-AF74,0),2)</f>
        <v>0</v>
      </c>
      <c r="AI74" s="81">
        <f t="shared" ref="AI74:AI77" si="89">AB74-AD74-AE74-AG74+AH74</f>
        <v>6758.09</v>
      </c>
      <c r="AJ74" s="70"/>
      <c r="AK74" s="40">
        <v>45</v>
      </c>
      <c r="AM74" s="87"/>
    </row>
    <row r="75" spans="1:39" s="40" customFormat="1" ht="4.5" customHeight="1">
      <c r="A75" s="100">
        <v>35</v>
      </c>
      <c r="B75" s="147"/>
      <c r="C75" s="147"/>
      <c r="D75" s="61"/>
      <c r="E75" s="62"/>
      <c r="F75" s="62"/>
      <c r="G75" s="63"/>
      <c r="H75" s="128" t="s">
        <v>423</v>
      </c>
      <c r="I75" s="128"/>
      <c r="J75" s="128"/>
      <c r="K75" s="128"/>
      <c r="L75" s="128"/>
      <c r="M75" s="128"/>
      <c r="N75" s="128"/>
      <c r="O75" s="128"/>
      <c r="P75" s="69">
        <v>0</v>
      </c>
      <c r="Q75" s="69" t="s">
        <v>209</v>
      </c>
      <c r="R75" s="69"/>
      <c r="S75" s="70">
        <v>0</v>
      </c>
      <c r="T75" s="71">
        <v>0</v>
      </c>
      <c r="U75" s="76">
        <f>13813/30</f>
        <v>460.43333333333334</v>
      </c>
      <c r="V75" s="77">
        <f t="shared" si="80"/>
        <v>0</v>
      </c>
      <c r="W75" s="78">
        <f t="shared" si="81"/>
        <v>0</v>
      </c>
      <c r="X75" s="77">
        <f t="shared" si="82"/>
        <v>0</v>
      </c>
      <c r="Y75" s="79">
        <f t="shared" si="83"/>
        <v>0</v>
      </c>
      <c r="Z75" s="77">
        <f t="shared" si="84"/>
        <v>0</v>
      </c>
      <c r="AA75" s="77">
        <f t="shared" si="85"/>
        <v>0</v>
      </c>
      <c r="AB75" s="77">
        <f t="shared" si="86"/>
        <v>0</v>
      </c>
      <c r="AC75" s="77"/>
      <c r="AD75" s="77"/>
      <c r="AE75" s="77">
        <v>0</v>
      </c>
      <c r="AF75" s="80" t="e">
        <f t="shared" si="87"/>
        <v>#N/A</v>
      </c>
      <c r="AG75" s="77">
        <v>0</v>
      </c>
      <c r="AH75" s="81">
        <v>0</v>
      </c>
      <c r="AI75" s="81">
        <f t="shared" si="89"/>
        <v>0</v>
      </c>
      <c r="AJ75" s="70"/>
      <c r="AK75" s="40">
        <v>46</v>
      </c>
      <c r="AM75" s="87"/>
    </row>
    <row r="76" spans="1:39" s="40" customFormat="1" ht="36" customHeight="1">
      <c r="A76" s="100">
        <v>36</v>
      </c>
      <c r="B76" s="147"/>
      <c r="C76" s="147"/>
      <c r="D76" s="61" t="s">
        <v>258</v>
      </c>
      <c r="E76" s="140" t="s">
        <v>271</v>
      </c>
      <c r="F76" s="140" t="s">
        <v>272</v>
      </c>
      <c r="G76" s="151"/>
      <c r="H76" s="98" t="s">
        <v>481</v>
      </c>
      <c r="I76" s="98"/>
      <c r="J76" s="98"/>
      <c r="K76" s="98"/>
      <c r="L76" s="98"/>
      <c r="M76" s="98"/>
      <c r="N76" s="98"/>
      <c r="O76" s="98"/>
      <c r="P76" s="152">
        <v>15</v>
      </c>
      <c r="Q76" s="159" t="s">
        <v>209</v>
      </c>
      <c r="R76" s="157"/>
      <c r="S76" s="157">
        <v>0</v>
      </c>
      <c r="T76" s="157">
        <v>0</v>
      </c>
      <c r="U76" s="143">
        <f>6419/30</f>
        <v>213.96666666666667</v>
      </c>
      <c r="V76" s="77">
        <f t="shared" si="80"/>
        <v>3209.5</v>
      </c>
      <c r="W76" s="78">
        <f t="shared" si="81"/>
        <v>128.38</v>
      </c>
      <c r="X76" s="77">
        <f t="shared" si="82"/>
        <v>224.66</v>
      </c>
      <c r="Y76" s="79">
        <f t="shared" si="83"/>
        <v>0</v>
      </c>
      <c r="Z76" s="77">
        <f t="shared" si="84"/>
        <v>353.04</v>
      </c>
      <c r="AA76" s="77">
        <f t="shared" si="85"/>
        <v>3209.5</v>
      </c>
      <c r="AB76" s="77">
        <f t="shared" si="86"/>
        <v>3562.54</v>
      </c>
      <c r="AC76" s="77"/>
      <c r="AD76" s="77"/>
      <c r="AE76" s="77">
        <v>0</v>
      </c>
      <c r="AF76" s="80">
        <f t="shared" si="87"/>
        <v>120.01051199999998</v>
      </c>
      <c r="AG76" s="77">
        <f t="shared" si="88"/>
        <v>120.01</v>
      </c>
      <c r="AH76" s="81">
        <f>TRUNC(IF(AF76&lt;0.01,-AF76,0),2)</f>
        <v>0</v>
      </c>
      <c r="AI76" s="81">
        <f t="shared" si="89"/>
        <v>3442.5299999999997</v>
      </c>
      <c r="AJ76" s="70"/>
      <c r="AK76" s="40">
        <v>47</v>
      </c>
      <c r="AM76" s="87"/>
    </row>
    <row r="77" spans="1:39" s="40" customFormat="1" ht="36" customHeight="1">
      <c r="A77" s="100">
        <v>37</v>
      </c>
      <c r="B77" s="147"/>
      <c r="C77" s="147"/>
      <c r="D77" s="61" t="s">
        <v>59</v>
      </c>
      <c r="E77" s="140" t="s">
        <v>165</v>
      </c>
      <c r="F77" s="140" t="s">
        <v>190</v>
      </c>
      <c r="G77" s="141">
        <v>35796</v>
      </c>
      <c r="H77" s="98" t="s">
        <v>28</v>
      </c>
      <c r="I77" s="98"/>
      <c r="J77" s="98"/>
      <c r="K77" s="98"/>
      <c r="L77" s="98"/>
      <c r="M77" s="98"/>
      <c r="N77" s="98"/>
      <c r="O77" s="98"/>
      <c r="P77" s="127">
        <v>15</v>
      </c>
      <c r="Q77" s="127" t="s">
        <v>209</v>
      </c>
      <c r="R77" s="127"/>
      <c r="S77" s="132">
        <v>0</v>
      </c>
      <c r="T77" s="133">
        <v>0</v>
      </c>
      <c r="U77" s="76">
        <f>6783/30</f>
        <v>226.1</v>
      </c>
      <c r="V77" s="79">
        <f t="shared" si="80"/>
        <v>3391.5</v>
      </c>
      <c r="W77" s="135">
        <f t="shared" si="81"/>
        <v>135.66</v>
      </c>
      <c r="X77" s="79">
        <f t="shared" si="82"/>
        <v>237.4</v>
      </c>
      <c r="Y77" s="79">
        <f t="shared" si="83"/>
        <v>0</v>
      </c>
      <c r="Z77" s="79">
        <f t="shared" si="84"/>
        <v>373.06</v>
      </c>
      <c r="AA77" s="79">
        <f t="shared" si="85"/>
        <v>3391.5</v>
      </c>
      <c r="AB77" s="79">
        <f t="shared" si="86"/>
        <v>3764.56</v>
      </c>
      <c r="AC77" s="79"/>
      <c r="AD77" s="79"/>
      <c r="AE77" s="79">
        <v>0</v>
      </c>
      <c r="AF77" s="80">
        <f t="shared" si="87"/>
        <v>139.81211199999998</v>
      </c>
      <c r="AG77" s="79">
        <f t="shared" si="88"/>
        <v>139.81</v>
      </c>
      <c r="AH77" s="136">
        <f>TRUNC(IF(AF77&lt;0.01,-AF77,0),2)</f>
        <v>0</v>
      </c>
      <c r="AI77" s="136">
        <f t="shared" si="89"/>
        <v>3624.75</v>
      </c>
      <c r="AJ77" s="132"/>
      <c r="AK77" s="40">
        <v>49</v>
      </c>
      <c r="AM77" s="87"/>
    </row>
    <row r="78" spans="1:39" s="40" customFormat="1" ht="12.75">
      <c r="A78" s="100"/>
      <c r="B78" s="147"/>
      <c r="C78" s="147"/>
      <c r="D78" s="91" t="s">
        <v>222</v>
      </c>
      <c r="E78" s="43"/>
      <c r="F78" s="43"/>
      <c r="G78" s="44"/>
      <c r="H78" s="92"/>
      <c r="I78" s="92"/>
      <c r="J78" s="92"/>
      <c r="K78" s="92"/>
      <c r="L78" s="92"/>
      <c r="M78" s="92"/>
      <c r="N78" s="92"/>
      <c r="O78" s="92"/>
      <c r="P78" s="49"/>
      <c r="Q78" s="49"/>
      <c r="R78" s="49"/>
      <c r="S78" s="50"/>
      <c r="T78" s="51"/>
      <c r="U78" s="93"/>
      <c r="V78" s="94">
        <f>SUM(V74:V77)</f>
        <v>14087.5</v>
      </c>
      <c r="W78" s="94">
        <f t="shared" ref="W78:AI78" si="90">SUM(W74:W77)</f>
        <v>563.5</v>
      </c>
      <c r="X78" s="94">
        <f t="shared" si="90"/>
        <v>986.1099999999999</v>
      </c>
      <c r="Y78" s="94">
        <f t="shared" si="90"/>
        <v>0</v>
      </c>
      <c r="Z78" s="94">
        <f t="shared" si="90"/>
        <v>1549.61</v>
      </c>
      <c r="AA78" s="94">
        <f t="shared" si="90"/>
        <v>14087.5</v>
      </c>
      <c r="AB78" s="94">
        <f t="shared" si="90"/>
        <v>15637.109999999999</v>
      </c>
      <c r="AC78" s="94">
        <f t="shared" si="90"/>
        <v>0</v>
      </c>
      <c r="AD78" s="94">
        <f t="shared" si="90"/>
        <v>500</v>
      </c>
      <c r="AE78" s="94">
        <f t="shared" si="90"/>
        <v>0</v>
      </c>
      <c r="AF78" s="94" t="e">
        <f t="shared" si="90"/>
        <v>#N/A</v>
      </c>
      <c r="AG78" s="94">
        <f t="shared" si="90"/>
        <v>1311.74</v>
      </c>
      <c r="AH78" s="94">
        <f t="shared" si="90"/>
        <v>0</v>
      </c>
      <c r="AI78" s="94">
        <f t="shared" si="90"/>
        <v>13825.369999999999</v>
      </c>
      <c r="AJ78" s="50"/>
    </row>
    <row r="79" spans="1:39" s="40" customFormat="1">
      <c r="A79" s="100"/>
      <c r="B79" s="147"/>
      <c r="C79" s="147"/>
      <c r="D79" s="122"/>
      <c r="E79" s="43"/>
      <c r="F79" s="43"/>
      <c r="G79" s="44"/>
      <c r="H79" s="92"/>
      <c r="I79" s="92"/>
      <c r="J79" s="92"/>
      <c r="K79" s="92"/>
      <c r="L79" s="92"/>
      <c r="M79" s="92"/>
      <c r="N79" s="92"/>
      <c r="O79" s="92"/>
      <c r="P79" s="49"/>
      <c r="Q79" s="49"/>
      <c r="R79" s="49"/>
      <c r="S79" s="50"/>
      <c r="T79" s="51"/>
      <c r="U79" s="93"/>
      <c r="V79" s="83"/>
      <c r="W79" s="148"/>
      <c r="X79" s="83"/>
      <c r="Y79" s="139"/>
      <c r="Z79" s="83"/>
      <c r="AA79" s="83"/>
      <c r="AB79" s="83"/>
      <c r="AC79" s="83"/>
      <c r="AD79" s="83"/>
      <c r="AE79" s="83"/>
      <c r="AF79" s="87"/>
      <c r="AG79" s="83"/>
      <c r="AH79" s="149"/>
      <c r="AI79" s="149"/>
      <c r="AJ79" s="50"/>
    </row>
    <row r="80" spans="1:39" s="40" customFormat="1" ht="12.75">
      <c r="A80" s="100"/>
      <c r="B80" s="147"/>
      <c r="C80" s="147"/>
      <c r="D80" s="91" t="s">
        <v>223</v>
      </c>
      <c r="E80" s="43"/>
      <c r="F80" s="43"/>
      <c r="G80" s="44"/>
      <c r="H80" s="92"/>
      <c r="I80" s="92"/>
      <c r="J80" s="92"/>
      <c r="K80" s="92"/>
      <c r="L80" s="92"/>
      <c r="M80" s="92"/>
      <c r="N80" s="92"/>
      <c r="O80" s="92"/>
      <c r="P80" s="49"/>
      <c r="Q80" s="49"/>
      <c r="R80" s="49"/>
      <c r="S80" s="50"/>
      <c r="T80" s="51"/>
      <c r="U80" s="93"/>
      <c r="V80" s="83"/>
      <c r="W80" s="148"/>
      <c r="X80" s="83"/>
      <c r="Y80" s="139"/>
      <c r="Z80" s="83"/>
      <c r="AA80" s="83"/>
      <c r="AB80" s="83"/>
      <c r="AC80" s="83"/>
      <c r="AD80" s="83"/>
      <c r="AE80" s="83"/>
      <c r="AF80" s="87"/>
      <c r="AG80" s="83"/>
      <c r="AH80" s="149"/>
      <c r="AI80" s="149"/>
      <c r="AJ80" s="50"/>
    </row>
    <row r="81" spans="1:39" s="40" customFormat="1" ht="36" customHeight="1">
      <c r="A81" s="100">
        <v>38</v>
      </c>
      <c r="B81" s="147"/>
      <c r="C81" s="147"/>
      <c r="D81" s="61" t="s">
        <v>40</v>
      </c>
      <c r="E81" s="140" t="s">
        <v>154</v>
      </c>
      <c r="F81" s="140" t="s">
        <v>178</v>
      </c>
      <c r="G81" s="141">
        <v>36893</v>
      </c>
      <c r="H81" s="98" t="s">
        <v>41</v>
      </c>
      <c r="I81" s="98"/>
      <c r="J81" s="98"/>
      <c r="K81" s="98"/>
      <c r="L81" s="98"/>
      <c r="M81" s="98"/>
      <c r="N81" s="98"/>
      <c r="O81" s="98"/>
      <c r="P81" s="127">
        <v>15</v>
      </c>
      <c r="Q81" s="127" t="s">
        <v>209</v>
      </c>
      <c r="R81" s="127"/>
      <c r="S81" s="132">
        <v>0</v>
      </c>
      <c r="T81" s="133">
        <v>0</v>
      </c>
      <c r="U81" s="76">
        <f>11550/30</f>
        <v>385</v>
      </c>
      <c r="V81" s="79">
        <f>TRUNC(U81*P81,2)</f>
        <v>5775</v>
      </c>
      <c r="W81" s="135">
        <f>TRUNC(U81*P81*0.04,2)</f>
        <v>231</v>
      </c>
      <c r="X81" s="79">
        <f>TRUNC(U81*0.07*P81,2)</f>
        <v>404.25</v>
      </c>
      <c r="Y81" s="79">
        <f>S81</f>
        <v>0</v>
      </c>
      <c r="Z81" s="79">
        <f>TRUNC(X81+W81+(IF(Y81&gt;519,519,Y81))+IF(R81=0,0,R81*U81),2)</f>
        <v>635.25</v>
      </c>
      <c r="AA81" s="79">
        <f>TRUNC((IF(R81=0,P81*U81,(P81-R81)*U81))+(IF(Y81&lt;519,0,Y81-519)),2)+T81</f>
        <v>5775</v>
      </c>
      <c r="AB81" s="79">
        <f>Z81+AA81</f>
        <v>6410.25</v>
      </c>
      <c r="AC81" s="79"/>
      <c r="AD81" s="79"/>
      <c r="AE81" s="79">
        <v>0</v>
      </c>
      <c r="AF81" s="80">
        <f>IF(U81&gt;0.01,(AA81-VLOOKUP(AA81,quincenal,1))*VLOOKUP(AA81,quincenal,3)+VLOOKUP(AA81,quincenal,2)-VLOOKUP(AA81,subquincenal,2),0)</f>
        <v>686.3508240000001</v>
      </c>
      <c r="AG81" s="79">
        <f>TRUNC(IF(AF81&gt;0.01,AF81,0),2)</f>
        <v>686.35</v>
      </c>
      <c r="AH81" s="136">
        <f>TRUNC(IF(AF81&lt;0.01,-AF81,0),2)</f>
        <v>0</v>
      </c>
      <c r="AI81" s="136">
        <f>AB81-AD81-AE81-AG81+AH81</f>
        <v>5723.9</v>
      </c>
      <c r="AJ81" s="132"/>
      <c r="AK81" s="40">
        <v>51</v>
      </c>
    </row>
    <row r="82" spans="1:39" s="40" customFormat="1" ht="36" customHeight="1">
      <c r="A82" s="100">
        <v>39</v>
      </c>
      <c r="B82" s="147"/>
      <c r="C82" s="147"/>
      <c r="D82" s="61" t="s">
        <v>43</v>
      </c>
      <c r="E82" s="140" t="s">
        <v>149</v>
      </c>
      <c r="F82" s="140" t="s">
        <v>173</v>
      </c>
      <c r="G82" s="141">
        <v>39182</v>
      </c>
      <c r="H82" s="98" t="s">
        <v>39</v>
      </c>
      <c r="I82" s="98"/>
      <c r="J82" s="98"/>
      <c r="K82" s="98"/>
      <c r="L82" s="98"/>
      <c r="M82" s="98"/>
      <c r="N82" s="98"/>
      <c r="O82" s="98"/>
      <c r="P82" s="127">
        <v>15</v>
      </c>
      <c r="Q82" s="127" t="s">
        <v>209</v>
      </c>
      <c r="R82" s="127"/>
      <c r="S82" s="132">
        <v>0</v>
      </c>
      <c r="T82" s="133">
        <v>0</v>
      </c>
      <c r="U82" s="76">
        <f>6609/30</f>
        <v>220.3</v>
      </c>
      <c r="V82" s="79">
        <f>TRUNC(U82*P82,2)</f>
        <v>3304.5</v>
      </c>
      <c r="W82" s="135">
        <f>TRUNC(U82*P82*0.04,2)</f>
        <v>132.18</v>
      </c>
      <c r="X82" s="79">
        <f>TRUNC(U82*0.07*P82,2)</f>
        <v>231.31</v>
      </c>
      <c r="Y82" s="79">
        <f>S82</f>
        <v>0</v>
      </c>
      <c r="Z82" s="79">
        <f>TRUNC(X82+W82+(IF(Y82&gt;519,519,Y82))+IF(R82=0,0,R82*U82),2)</f>
        <v>363.49</v>
      </c>
      <c r="AA82" s="79">
        <f>TRUNC((IF(R82=0,P82*U82,(P82-R82)*U82))+(IF(Y82&lt;519,0,Y82-519)),2)+T82</f>
        <v>3304.5</v>
      </c>
      <c r="AB82" s="79">
        <f>Z82+AA82</f>
        <v>3667.99</v>
      </c>
      <c r="AC82" s="79"/>
      <c r="AD82" s="79"/>
      <c r="AE82" s="79">
        <v>0</v>
      </c>
      <c r="AF82" s="80">
        <f>IF(U82&gt;0.01,(AA82-VLOOKUP(AA82,quincenal,1))*VLOOKUP(AA82,quincenal,3)+VLOOKUP(AA82,quincenal,2)-VLOOKUP(AA82,subquincenal,2),0)</f>
        <v>130.34651199999999</v>
      </c>
      <c r="AG82" s="79">
        <f>TRUNC(IF(AF82&gt;0.01,AF82,0),2)</f>
        <v>130.34</v>
      </c>
      <c r="AH82" s="136">
        <f>TRUNC(IF(AF82&lt;0.01,-AF82,0),2)</f>
        <v>0</v>
      </c>
      <c r="AI82" s="136">
        <f>AB82-AD82-AE82-AG82+AH82</f>
        <v>3537.6499999999996</v>
      </c>
      <c r="AJ82" s="132"/>
      <c r="AK82" s="40">
        <v>52</v>
      </c>
    </row>
    <row r="83" spans="1:39" s="40" customFormat="1" ht="36" customHeight="1">
      <c r="A83" s="100">
        <f t="shared" ref="A83:A84" si="91">A82+1</f>
        <v>40</v>
      </c>
      <c r="B83" s="147"/>
      <c r="C83" s="147"/>
      <c r="D83" s="121" t="s">
        <v>44</v>
      </c>
      <c r="E83" s="140" t="s">
        <v>160</v>
      </c>
      <c r="F83" s="140" t="s">
        <v>184</v>
      </c>
      <c r="G83" s="141">
        <v>36892</v>
      </c>
      <c r="H83" s="102" t="s">
        <v>241</v>
      </c>
      <c r="I83" s="102"/>
      <c r="J83" s="102"/>
      <c r="K83" s="102"/>
      <c r="L83" s="102"/>
      <c r="M83" s="102"/>
      <c r="N83" s="102"/>
      <c r="O83" s="102"/>
      <c r="P83" s="127">
        <v>15</v>
      </c>
      <c r="Q83" s="127" t="s">
        <v>209</v>
      </c>
      <c r="R83" s="127"/>
      <c r="S83" s="132">
        <v>0</v>
      </c>
      <c r="T83" s="133">
        <v>0</v>
      </c>
      <c r="U83" s="76">
        <f>6609/30</f>
        <v>220.3</v>
      </c>
      <c r="V83" s="79">
        <f>TRUNC(U83*P83,2)</f>
        <v>3304.5</v>
      </c>
      <c r="W83" s="135">
        <f>TRUNC(U83*P83*0.04,2)</f>
        <v>132.18</v>
      </c>
      <c r="X83" s="79">
        <f>TRUNC(U83*0.07*P83,2)</f>
        <v>231.31</v>
      </c>
      <c r="Y83" s="79">
        <f>S83</f>
        <v>0</v>
      </c>
      <c r="Z83" s="79">
        <f>TRUNC(X83+W83+(IF(Y83&gt;519,519,Y83))+IF(R83=0,0,R83*U83),2)</f>
        <v>363.49</v>
      </c>
      <c r="AA83" s="79">
        <f>TRUNC((IF(R83=0,P83*U83,(P83-R83)*U83))+(IF(Y83&lt;519,0,Y83-519)),2)+T83</f>
        <v>3304.5</v>
      </c>
      <c r="AB83" s="79">
        <f>Z83+AA83</f>
        <v>3667.99</v>
      </c>
      <c r="AC83" s="79"/>
      <c r="AD83" s="79"/>
      <c r="AE83" s="79">
        <v>0</v>
      </c>
      <c r="AF83" s="80">
        <f>IF(U83&gt;0.01,(AA83-VLOOKUP(AA83,quincenal,1))*VLOOKUP(AA83,quincenal,3)+VLOOKUP(AA83,quincenal,2)-VLOOKUP(AA83,subquincenal,2),0)</f>
        <v>130.34651199999999</v>
      </c>
      <c r="AG83" s="79">
        <f>TRUNC(IF(AF83&gt;0.01,AF83,0),2)</f>
        <v>130.34</v>
      </c>
      <c r="AH83" s="136">
        <f>TRUNC(IF(AF83&lt;0.01,-AF83,0),2)</f>
        <v>0</v>
      </c>
      <c r="AI83" s="136">
        <f>AB83-AD83-AE83-AG83+AH83</f>
        <v>3537.6499999999996</v>
      </c>
      <c r="AJ83" s="132"/>
      <c r="AK83" s="40">
        <v>53</v>
      </c>
    </row>
    <row r="84" spans="1:39" s="40" customFormat="1" ht="36" customHeight="1">
      <c r="A84" s="100">
        <f t="shared" si="91"/>
        <v>41</v>
      </c>
      <c r="B84" s="147"/>
      <c r="C84" s="147"/>
      <c r="D84" s="120" t="s">
        <v>212</v>
      </c>
      <c r="E84" s="97" t="s">
        <v>313</v>
      </c>
      <c r="F84" s="97" t="s">
        <v>314</v>
      </c>
      <c r="G84" s="63"/>
      <c r="H84" s="102" t="s">
        <v>45</v>
      </c>
      <c r="I84" s="102"/>
      <c r="J84" s="102"/>
      <c r="K84" s="102"/>
      <c r="L84" s="102"/>
      <c r="M84" s="102"/>
      <c r="N84" s="102"/>
      <c r="O84" s="102"/>
      <c r="P84" s="127">
        <v>15</v>
      </c>
      <c r="Q84" s="127" t="s">
        <v>209</v>
      </c>
      <c r="R84" s="127"/>
      <c r="S84" s="132">
        <v>0</v>
      </c>
      <c r="T84" s="133">
        <v>0</v>
      </c>
      <c r="U84" s="76">
        <f>6762/30</f>
        <v>225.4</v>
      </c>
      <c r="V84" s="79">
        <f>TRUNC(U84*P84,2)</f>
        <v>3381</v>
      </c>
      <c r="W84" s="135">
        <f>TRUNC(U84*P84*0.04,2)</f>
        <v>135.24</v>
      </c>
      <c r="X84" s="79">
        <f>TRUNC(U84*0.07*P84,2)</f>
        <v>236.67</v>
      </c>
      <c r="Y84" s="79">
        <f>S84</f>
        <v>0</v>
      </c>
      <c r="Z84" s="79">
        <f>TRUNC(X84+W84+(IF(Y84&gt;519,519,Y84))+IF(R84=0,0,R84*U84),2)</f>
        <v>371.91</v>
      </c>
      <c r="AA84" s="79">
        <f>TRUNC((IF(R84=0,P84*U84,(P84-R84)*U84))+(IF(Y84&lt;519,0,Y84-519)),2)+T84</f>
        <v>3381</v>
      </c>
      <c r="AB84" s="79">
        <f>Z84+AA84</f>
        <v>3752.91</v>
      </c>
      <c r="AC84" s="79"/>
      <c r="AD84" s="79">
        <v>0</v>
      </c>
      <c r="AE84" s="79">
        <v>0</v>
      </c>
      <c r="AF84" s="80">
        <f>IF(U84&gt;0.01,(AA84-VLOOKUP(AA84,quincenal,1))*VLOOKUP(AA84,quincenal,3)+VLOOKUP(AA84,quincenal,2)-VLOOKUP(AA84,subquincenal,2),0)</f>
        <v>138.66971199999998</v>
      </c>
      <c r="AG84" s="79">
        <f>TRUNC(IF(AF84&gt;0.01,AF84,0),2)</f>
        <v>138.66</v>
      </c>
      <c r="AH84" s="136">
        <f>TRUNC(IF(AF84&lt;0.01,-AF84,0),2)</f>
        <v>0</v>
      </c>
      <c r="AI84" s="136">
        <f>AB84-AD84-AE84-AG84+AH84</f>
        <v>3614.25</v>
      </c>
      <c r="AJ84" s="132"/>
      <c r="AK84" s="40">
        <v>54</v>
      </c>
    </row>
    <row r="85" spans="1:39" s="40" customFormat="1" ht="12.75">
      <c r="A85" s="100"/>
      <c r="B85" s="147"/>
      <c r="C85" s="147"/>
      <c r="D85" s="91" t="s">
        <v>223</v>
      </c>
      <c r="E85" s="43"/>
      <c r="F85" s="43"/>
      <c r="G85" s="44"/>
      <c r="H85" s="92"/>
      <c r="I85" s="92"/>
      <c r="J85" s="92"/>
      <c r="K85" s="92"/>
      <c r="L85" s="92"/>
      <c r="M85" s="92"/>
      <c r="N85" s="92"/>
      <c r="O85" s="92"/>
      <c r="P85" s="49"/>
      <c r="Q85" s="49"/>
      <c r="R85" s="49"/>
      <c r="S85" s="50"/>
      <c r="T85" s="51"/>
      <c r="U85" s="93"/>
      <c r="V85" s="86">
        <f>SUM(V81:V84)</f>
        <v>15765</v>
      </c>
      <c r="W85" s="86">
        <f t="shared" ref="W85:AI85" si="92">SUM(W81:W84)</f>
        <v>630.6</v>
      </c>
      <c r="X85" s="86">
        <f t="shared" si="92"/>
        <v>1103.54</v>
      </c>
      <c r="Y85" s="86">
        <f t="shared" si="92"/>
        <v>0</v>
      </c>
      <c r="Z85" s="86">
        <f t="shared" si="92"/>
        <v>1734.14</v>
      </c>
      <c r="AA85" s="86">
        <f t="shared" si="92"/>
        <v>15765</v>
      </c>
      <c r="AB85" s="86">
        <f t="shared" si="92"/>
        <v>17499.14</v>
      </c>
      <c r="AC85" s="86">
        <f t="shared" si="92"/>
        <v>0</v>
      </c>
      <c r="AD85" s="86">
        <f t="shared" si="92"/>
        <v>0</v>
      </c>
      <c r="AE85" s="86">
        <f t="shared" si="92"/>
        <v>0</v>
      </c>
      <c r="AF85" s="86">
        <f t="shared" si="92"/>
        <v>1085.7135599999999</v>
      </c>
      <c r="AG85" s="86">
        <f t="shared" si="92"/>
        <v>1085.69</v>
      </c>
      <c r="AH85" s="86">
        <f t="shared" si="92"/>
        <v>0</v>
      </c>
      <c r="AI85" s="86">
        <f t="shared" si="92"/>
        <v>16413.449999999997</v>
      </c>
      <c r="AJ85" s="50"/>
    </row>
    <row r="86" spans="1:39" s="40" customFormat="1">
      <c r="A86" s="100"/>
      <c r="B86" s="147"/>
      <c r="C86" s="147"/>
      <c r="D86" s="122"/>
      <c r="E86" s="43"/>
      <c r="F86" s="43"/>
      <c r="G86" s="44"/>
      <c r="H86" s="92"/>
      <c r="I86" s="92"/>
      <c r="J86" s="92"/>
      <c r="K86" s="92"/>
      <c r="L86" s="92"/>
      <c r="M86" s="92"/>
      <c r="N86" s="92"/>
      <c r="O86" s="92"/>
      <c r="P86" s="49"/>
      <c r="Q86" s="49"/>
      <c r="R86" s="49"/>
      <c r="S86" s="50"/>
      <c r="T86" s="51"/>
      <c r="U86" s="93"/>
      <c r="V86" s="83"/>
      <c r="W86" s="148"/>
      <c r="X86" s="83"/>
      <c r="Y86" s="139"/>
      <c r="Z86" s="83"/>
      <c r="AA86" s="83"/>
      <c r="AB86" s="83"/>
      <c r="AC86" s="83"/>
      <c r="AD86" s="83"/>
      <c r="AE86" s="83"/>
      <c r="AF86" s="87"/>
      <c r="AG86" s="83"/>
      <c r="AH86" s="149"/>
      <c r="AI86" s="149"/>
      <c r="AJ86" s="50"/>
    </row>
    <row r="87" spans="1:39" s="40" customFormat="1" ht="12.75">
      <c r="A87" s="100"/>
      <c r="B87" s="147"/>
      <c r="C87" s="147"/>
      <c r="D87" s="91" t="s">
        <v>224</v>
      </c>
      <c r="E87" s="43"/>
      <c r="F87" s="43"/>
      <c r="G87" s="44"/>
      <c r="H87" s="92"/>
      <c r="I87" s="92"/>
      <c r="J87" s="92"/>
      <c r="K87" s="92"/>
      <c r="L87" s="92"/>
      <c r="M87" s="92"/>
      <c r="N87" s="92"/>
      <c r="O87" s="92"/>
      <c r="P87" s="49"/>
      <c r="Q87" s="49"/>
      <c r="R87" s="49"/>
      <c r="S87" s="50"/>
      <c r="T87" s="51"/>
      <c r="U87" s="93"/>
      <c r="V87" s="83"/>
      <c r="W87" s="148"/>
      <c r="X87" s="83"/>
      <c r="Y87" s="139"/>
      <c r="Z87" s="83"/>
      <c r="AA87" s="83"/>
      <c r="AB87" s="83"/>
      <c r="AC87" s="83"/>
      <c r="AD87" s="83"/>
      <c r="AE87" s="83"/>
      <c r="AF87" s="87"/>
      <c r="AG87" s="83"/>
      <c r="AH87" s="149"/>
      <c r="AI87" s="149"/>
      <c r="AJ87" s="50"/>
    </row>
    <row r="88" spans="1:39" s="40" customFormat="1" ht="36" customHeight="1">
      <c r="A88" s="100">
        <f>A84+1</f>
        <v>42</v>
      </c>
      <c r="B88" s="68" t="s">
        <v>21</v>
      </c>
      <c r="C88" s="68" t="s">
        <v>21</v>
      </c>
      <c r="D88" s="61" t="s">
        <v>405</v>
      </c>
      <c r="E88" s="62"/>
      <c r="F88" s="62"/>
      <c r="G88" s="63"/>
      <c r="H88" s="98" t="s">
        <v>50</v>
      </c>
      <c r="I88" s="98"/>
      <c r="J88" s="98"/>
      <c r="K88" s="98"/>
      <c r="L88" s="98"/>
      <c r="M88" s="98"/>
      <c r="N88" s="98"/>
      <c r="O88" s="98"/>
      <c r="P88" s="69">
        <v>15</v>
      </c>
      <c r="Q88" s="69" t="s">
        <v>209</v>
      </c>
      <c r="R88" s="69"/>
      <c r="S88" s="70">
        <v>0</v>
      </c>
      <c r="T88" s="71">
        <v>0</v>
      </c>
      <c r="U88" s="76">
        <f>3158/30</f>
        <v>105.26666666666667</v>
      </c>
      <c r="V88" s="77">
        <f t="shared" ref="V88:V91" si="93">TRUNC(U88*P88,2)</f>
        <v>1579</v>
      </c>
      <c r="W88" s="78">
        <f t="shared" ref="W88:W91" si="94">TRUNC(U88*P88*0.04,2)</f>
        <v>63.16</v>
      </c>
      <c r="X88" s="77">
        <f t="shared" ref="X88:X91" si="95">TRUNC(U88*0.07*P88,2)</f>
        <v>110.53</v>
      </c>
      <c r="Y88" s="79">
        <f t="shared" ref="Y88:Y91" si="96">S88</f>
        <v>0</v>
      </c>
      <c r="Z88" s="77">
        <f t="shared" ref="Z88:Z91" si="97">TRUNC(X88+W88+(IF(Y88&gt;519,519,Y88))+IF(R88=0,0,R88*U88),2)</f>
        <v>173.69</v>
      </c>
      <c r="AA88" s="77">
        <f t="shared" ref="AA88:AA91" si="98">TRUNC((IF(R88=0,P88*U88,(P88-R88)*U88))+(IF(Y88&lt;519,0,Y88-519)),2)+T88</f>
        <v>1579</v>
      </c>
      <c r="AB88" s="77">
        <f t="shared" ref="AB88:AB91" si="99">Z88+AA88</f>
        <v>1752.69</v>
      </c>
      <c r="AC88" s="77"/>
      <c r="AD88" s="77">
        <v>0</v>
      </c>
      <c r="AE88" s="77">
        <v>0</v>
      </c>
      <c r="AF88" s="80">
        <f t="shared" ref="AF88:AF91" si="100">IF(U88&gt;0.01,(AA88-VLOOKUP(AA88,quincenal,1))*VLOOKUP(AA88,quincenal,3)+VLOOKUP(AA88,quincenal,2)-VLOOKUP(AA88,subquincenal,2),0)</f>
        <v>-110.66183999999998</v>
      </c>
      <c r="AG88" s="77">
        <f t="shared" ref="AG88" si="101">TRUNC(IF(AF88&gt;0.01,AF88,0),2)</f>
        <v>0</v>
      </c>
      <c r="AH88" s="81">
        <f t="shared" ref="AH88" si="102">TRUNC(IF(AF88&lt;0.01,-AF88,0),2)</f>
        <v>110.66</v>
      </c>
      <c r="AI88" s="81">
        <f t="shared" ref="AI88:AI91" si="103">AB88-AD88-AE88-AG88+AH88</f>
        <v>1863.3500000000001</v>
      </c>
      <c r="AJ88" s="70"/>
      <c r="AK88" s="40">
        <v>55</v>
      </c>
      <c r="AM88" s="87"/>
    </row>
    <row r="89" spans="1:39" s="40" customFormat="1" ht="36" customHeight="1">
      <c r="A89" s="100">
        <f>A88+1</f>
        <v>43</v>
      </c>
      <c r="B89" s="68" t="s">
        <v>21</v>
      </c>
      <c r="C89" s="68" t="s">
        <v>21</v>
      </c>
      <c r="D89" s="61" t="s">
        <v>407</v>
      </c>
      <c r="E89" s="144" t="s">
        <v>317</v>
      </c>
      <c r="F89" s="62"/>
      <c r="G89" s="63"/>
      <c r="H89" s="98" t="s">
        <v>52</v>
      </c>
      <c r="I89" s="98"/>
      <c r="J89" s="98"/>
      <c r="K89" s="98"/>
      <c r="L89" s="98"/>
      <c r="M89" s="98"/>
      <c r="N89" s="98"/>
      <c r="O89" s="98"/>
      <c r="P89" s="69">
        <v>15</v>
      </c>
      <c r="Q89" s="69" t="s">
        <v>209</v>
      </c>
      <c r="R89" s="69"/>
      <c r="S89" s="70">
        <v>0</v>
      </c>
      <c r="T89" s="71">
        <v>0</v>
      </c>
      <c r="U89" s="76">
        <f>2562/30</f>
        <v>85.4</v>
      </c>
      <c r="V89" s="77">
        <f t="shared" si="93"/>
        <v>1281</v>
      </c>
      <c r="W89" s="78">
        <f t="shared" si="94"/>
        <v>51.24</v>
      </c>
      <c r="X89" s="77">
        <f t="shared" si="95"/>
        <v>89.67</v>
      </c>
      <c r="Y89" s="79">
        <f t="shared" si="96"/>
        <v>0</v>
      </c>
      <c r="Z89" s="77">
        <f t="shared" si="97"/>
        <v>140.91</v>
      </c>
      <c r="AA89" s="77">
        <f t="shared" si="98"/>
        <v>1281</v>
      </c>
      <c r="AB89" s="77">
        <f t="shared" si="99"/>
        <v>1421.91</v>
      </c>
      <c r="AC89" s="77"/>
      <c r="AD89" s="77"/>
      <c r="AE89" s="77">
        <v>0</v>
      </c>
      <c r="AF89" s="80">
        <f t="shared" si="100"/>
        <v>-129.73383999999999</v>
      </c>
      <c r="AG89" s="77">
        <f t="shared" ref="AG89" si="104">TRUNC(IF(AF89&gt;0.01,AF89,0),2)</f>
        <v>0</v>
      </c>
      <c r="AH89" s="81">
        <f t="shared" ref="AH89" si="105">TRUNC(IF(AF89&lt;0.01,-AF89,0),2)</f>
        <v>129.72999999999999</v>
      </c>
      <c r="AI89" s="81">
        <f t="shared" si="103"/>
        <v>1551.64</v>
      </c>
      <c r="AJ89" s="70"/>
      <c r="AK89" s="40">
        <v>56</v>
      </c>
      <c r="AM89" s="87"/>
    </row>
    <row r="90" spans="1:39" s="40" customFormat="1" ht="36" customHeight="1">
      <c r="A90" s="100">
        <f t="shared" ref="A90:A96" si="106">A89+1</f>
        <v>44</v>
      </c>
      <c r="B90" s="68" t="s">
        <v>21</v>
      </c>
      <c r="C90" s="68" t="s">
        <v>21</v>
      </c>
      <c r="D90" s="120" t="s">
        <v>408</v>
      </c>
      <c r="E90" s="96" t="s">
        <v>315</v>
      </c>
      <c r="F90" s="97" t="s">
        <v>316</v>
      </c>
      <c r="G90" s="63"/>
      <c r="H90" s="98" t="s">
        <v>237</v>
      </c>
      <c r="I90" s="98"/>
      <c r="J90" s="98"/>
      <c r="K90" s="98"/>
      <c r="L90" s="98"/>
      <c r="M90" s="98"/>
      <c r="N90" s="98"/>
      <c r="O90" s="98"/>
      <c r="P90" s="69">
        <v>15</v>
      </c>
      <c r="Q90" s="69" t="s">
        <v>209</v>
      </c>
      <c r="R90" s="69"/>
      <c r="S90" s="70">
        <v>0</v>
      </c>
      <c r="T90" s="71">
        <v>0</v>
      </c>
      <c r="U90" s="76">
        <f>2363/30</f>
        <v>78.766666666666666</v>
      </c>
      <c r="V90" s="77">
        <f t="shared" si="93"/>
        <v>1181.5</v>
      </c>
      <c r="W90" s="78">
        <f t="shared" si="94"/>
        <v>47.26</v>
      </c>
      <c r="X90" s="77">
        <f t="shared" si="95"/>
        <v>82.7</v>
      </c>
      <c r="Y90" s="79">
        <f t="shared" si="96"/>
        <v>0</v>
      </c>
      <c r="Z90" s="77">
        <f t="shared" si="97"/>
        <v>129.96</v>
      </c>
      <c r="AA90" s="77">
        <f t="shared" si="98"/>
        <v>1181.5</v>
      </c>
      <c r="AB90" s="77">
        <f t="shared" si="99"/>
        <v>1311.46</v>
      </c>
      <c r="AC90" s="77"/>
      <c r="AD90" s="77"/>
      <c r="AE90" s="77">
        <v>0</v>
      </c>
      <c r="AF90" s="80">
        <f t="shared" si="100"/>
        <v>-136.10183999999998</v>
      </c>
      <c r="AG90" s="77">
        <f t="shared" ref="AG90" si="107">TRUNC(IF(AF90&gt;0.01,AF90,0),2)</f>
        <v>0</v>
      </c>
      <c r="AH90" s="81">
        <f t="shared" ref="AH90" si="108">TRUNC(IF(AF90&lt;0.01,-AF90,0),2)</f>
        <v>136.1</v>
      </c>
      <c r="AI90" s="81">
        <f t="shared" si="103"/>
        <v>1447.56</v>
      </c>
      <c r="AJ90" s="70"/>
      <c r="AK90" s="40">
        <v>57</v>
      </c>
      <c r="AM90" s="87"/>
    </row>
    <row r="91" spans="1:39" s="40" customFormat="1" ht="36" customHeight="1">
      <c r="A91" s="100">
        <f t="shared" si="106"/>
        <v>45</v>
      </c>
      <c r="B91" s="68" t="s">
        <v>21</v>
      </c>
      <c r="C91" s="68" t="s">
        <v>21</v>
      </c>
      <c r="D91" s="61" t="s">
        <v>257</v>
      </c>
      <c r="E91" s="140" t="s">
        <v>277</v>
      </c>
      <c r="F91" s="140" t="s">
        <v>291</v>
      </c>
      <c r="G91" s="63"/>
      <c r="H91" s="98" t="s">
        <v>53</v>
      </c>
      <c r="I91" s="98"/>
      <c r="J91" s="98"/>
      <c r="K91" s="98"/>
      <c r="L91" s="98"/>
      <c r="M91" s="98"/>
      <c r="N91" s="98"/>
      <c r="O91" s="98"/>
      <c r="P91" s="69">
        <v>15</v>
      </c>
      <c r="Q91" s="69" t="s">
        <v>209</v>
      </c>
      <c r="R91" s="69"/>
      <c r="S91" s="70">
        <v>0</v>
      </c>
      <c r="T91" s="71">
        <v>0</v>
      </c>
      <c r="U91" s="76">
        <f>2761/30</f>
        <v>92.033333333333331</v>
      </c>
      <c r="V91" s="77">
        <f t="shared" si="93"/>
        <v>1380.5</v>
      </c>
      <c r="W91" s="78">
        <f t="shared" si="94"/>
        <v>55.22</v>
      </c>
      <c r="X91" s="77">
        <f t="shared" si="95"/>
        <v>96.63</v>
      </c>
      <c r="Y91" s="79">
        <f t="shared" si="96"/>
        <v>0</v>
      </c>
      <c r="Z91" s="77">
        <f t="shared" si="97"/>
        <v>151.85</v>
      </c>
      <c r="AA91" s="77">
        <f t="shared" si="98"/>
        <v>1380.5</v>
      </c>
      <c r="AB91" s="77">
        <f t="shared" si="99"/>
        <v>1532.35</v>
      </c>
      <c r="AC91" s="77"/>
      <c r="AD91" s="77"/>
      <c r="AE91" s="77">
        <v>0</v>
      </c>
      <c r="AF91" s="80">
        <f t="shared" si="100"/>
        <v>-123.36583999999998</v>
      </c>
      <c r="AG91" s="77">
        <f t="shared" ref="AG91:AG93" si="109">TRUNC(IF(AF91&gt;0.01,AF91,0),2)</f>
        <v>0</v>
      </c>
      <c r="AH91" s="81">
        <f t="shared" ref="AH91:AH93" si="110">TRUNC(IF(AF91&lt;0.01,-AF91,0),2)</f>
        <v>123.36</v>
      </c>
      <c r="AI91" s="81">
        <f t="shared" si="103"/>
        <v>1655.7099999999998</v>
      </c>
      <c r="AJ91" s="70"/>
      <c r="AK91" s="40">
        <v>58</v>
      </c>
      <c r="AM91" s="87"/>
    </row>
    <row r="92" spans="1:39" s="40" customFormat="1" ht="36" customHeight="1">
      <c r="A92" s="100">
        <f t="shared" si="106"/>
        <v>46</v>
      </c>
      <c r="B92" s="68"/>
      <c r="C92" s="68"/>
      <c r="D92" s="61" t="s">
        <v>449</v>
      </c>
      <c r="E92" s="140"/>
      <c r="F92" s="140"/>
      <c r="G92" s="63"/>
      <c r="H92" s="98" t="s">
        <v>450</v>
      </c>
      <c r="I92" s="98"/>
      <c r="J92" s="98"/>
      <c r="K92" s="98"/>
      <c r="L92" s="98"/>
      <c r="M92" s="98"/>
      <c r="N92" s="98"/>
      <c r="O92" s="98"/>
      <c r="P92" s="69">
        <v>15</v>
      </c>
      <c r="Q92" s="69" t="s">
        <v>209</v>
      </c>
      <c r="R92" s="69"/>
      <c r="S92" s="70">
        <v>0</v>
      </c>
      <c r="T92" s="71">
        <v>0</v>
      </c>
      <c r="U92" s="76">
        <f>2562/30</f>
        <v>85.4</v>
      </c>
      <c r="V92" s="77">
        <f t="shared" ref="V92:V95" si="111">TRUNC(U92*P92,2)</f>
        <v>1281</v>
      </c>
      <c r="W92" s="78">
        <f t="shared" ref="W92:W95" si="112">TRUNC(U92*P92*0.04,2)</f>
        <v>51.24</v>
      </c>
      <c r="X92" s="77">
        <f t="shared" ref="X92:X95" si="113">TRUNC(U92*0.07*P92,2)</f>
        <v>89.67</v>
      </c>
      <c r="Y92" s="79">
        <f t="shared" ref="Y92:Y95" si="114">S92</f>
        <v>0</v>
      </c>
      <c r="Z92" s="77">
        <f t="shared" ref="Z92:Z95" si="115">TRUNC(X92+W92+(IF(Y92&gt;519,519,Y92))+IF(R92=0,0,R92*U92),2)</f>
        <v>140.91</v>
      </c>
      <c r="AA92" s="77">
        <f t="shared" ref="AA92:AA95" si="116">TRUNC((IF(R92=0,P92*U92,(P92-R92)*U92))+(IF(Y92&lt;519,0,Y92-519)),2)+T92</f>
        <v>1281</v>
      </c>
      <c r="AB92" s="77">
        <f t="shared" ref="AB92:AB95" si="117">Z92+AA92</f>
        <v>1421.91</v>
      </c>
      <c r="AC92" s="77"/>
      <c r="AD92" s="77">
        <v>500</v>
      </c>
      <c r="AE92" s="77">
        <v>0</v>
      </c>
      <c r="AF92" s="80">
        <f t="shared" ref="AF92:AF95" si="118">IF(U92&gt;0.01,(AA92-VLOOKUP(AA92,quincenal,1))*VLOOKUP(AA92,quincenal,3)+VLOOKUP(AA92,quincenal,2)-VLOOKUP(AA92,subquincenal,2),0)</f>
        <v>-129.73383999999999</v>
      </c>
      <c r="AG92" s="77">
        <f t="shared" si="109"/>
        <v>0</v>
      </c>
      <c r="AH92" s="81">
        <f t="shared" si="110"/>
        <v>129.72999999999999</v>
      </c>
      <c r="AI92" s="81">
        <f t="shared" ref="AI92:AI95" si="119">AB92-AD92-AE92-AG92+AH92</f>
        <v>1051.6400000000001</v>
      </c>
      <c r="AJ92" s="70"/>
      <c r="AK92" s="40">
        <v>59</v>
      </c>
      <c r="AM92" s="87"/>
    </row>
    <row r="93" spans="1:39" s="40" customFormat="1" ht="36" customHeight="1">
      <c r="A93" s="100">
        <f t="shared" si="106"/>
        <v>47</v>
      </c>
      <c r="B93" s="68"/>
      <c r="C93" s="68"/>
      <c r="D93" s="61" t="s">
        <v>456</v>
      </c>
      <c r="E93" s="140"/>
      <c r="F93" s="140"/>
      <c r="G93" s="63"/>
      <c r="H93" s="98" t="s">
        <v>457</v>
      </c>
      <c r="I93" s="98"/>
      <c r="J93" s="98"/>
      <c r="K93" s="98"/>
      <c r="L93" s="98"/>
      <c r="M93" s="98"/>
      <c r="N93" s="98"/>
      <c r="O93" s="98"/>
      <c r="P93" s="69">
        <v>15</v>
      </c>
      <c r="Q93" s="69" t="s">
        <v>209</v>
      </c>
      <c r="R93" s="69"/>
      <c r="S93" s="70">
        <v>0</v>
      </c>
      <c r="T93" s="71">
        <v>0</v>
      </c>
      <c r="U93" s="76">
        <f>3556/30</f>
        <v>118.53333333333333</v>
      </c>
      <c r="V93" s="77">
        <f t="shared" si="111"/>
        <v>1778</v>
      </c>
      <c r="W93" s="78">
        <f t="shared" si="112"/>
        <v>71.12</v>
      </c>
      <c r="X93" s="77">
        <f t="shared" si="113"/>
        <v>124.46</v>
      </c>
      <c r="Y93" s="79">
        <f t="shared" si="114"/>
        <v>0</v>
      </c>
      <c r="Z93" s="77">
        <f t="shared" si="115"/>
        <v>195.58</v>
      </c>
      <c r="AA93" s="77">
        <f t="shared" si="116"/>
        <v>1778</v>
      </c>
      <c r="AB93" s="77">
        <f t="shared" si="117"/>
        <v>1973.58</v>
      </c>
      <c r="AC93" s="77"/>
      <c r="AD93" s="77"/>
      <c r="AE93" s="79">
        <v>0</v>
      </c>
      <c r="AF93" s="80">
        <f t="shared" si="118"/>
        <v>-85.92583999999998</v>
      </c>
      <c r="AG93" s="79">
        <f t="shared" si="109"/>
        <v>0</v>
      </c>
      <c r="AH93" s="136">
        <f t="shared" si="110"/>
        <v>85.92</v>
      </c>
      <c r="AI93" s="136">
        <f t="shared" si="119"/>
        <v>2059.5</v>
      </c>
      <c r="AJ93" s="70"/>
      <c r="AK93" s="40">
        <v>60</v>
      </c>
      <c r="AM93" s="87"/>
    </row>
    <row r="94" spans="1:39" s="40" customFormat="1" ht="3.75" customHeight="1">
      <c r="A94" s="100">
        <f t="shared" si="106"/>
        <v>48</v>
      </c>
      <c r="B94" s="68"/>
      <c r="C94" s="68"/>
      <c r="D94" s="61" t="s">
        <v>499</v>
      </c>
      <c r="E94" s="140"/>
      <c r="F94" s="140"/>
      <c r="G94" s="63"/>
      <c r="H94" s="98" t="s">
        <v>477</v>
      </c>
      <c r="I94" s="98"/>
      <c r="J94" s="98"/>
      <c r="K94" s="98"/>
      <c r="L94" s="98"/>
      <c r="M94" s="98"/>
      <c r="N94" s="98"/>
      <c r="O94" s="98"/>
      <c r="P94" s="69">
        <v>0</v>
      </c>
      <c r="Q94" s="69" t="s">
        <v>209</v>
      </c>
      <c r="R94" s="69"/>
      <c r="S94" s="70">
        <v>0</v>
      </c>
      <c r="T94" s="71">
        <v>0</v>
      </c>
      <c r="U94" s="76">
        <f>3556/30</f>
        <v>118.53333333333333</v>
      </c>
      <c r="V94" s="77">
        <f t="shared" ref="V94" si="120">TRUNC(U94*P94,2)</f>
        <v>0</v>
      </c>
      <c r="W94" s="78">
        <f t="shared" ref="W94" si="121">TRUNC(U94*P94*0.04,2)</f>
        <v>0</v>
      </c>
      <c r="X94" s="77">
        <f t="shared" ref="X94" si="122">TRUNC(U94*0.07*P94,2)</f>
        <v>0</v>
      </c>
      <c r="Y94" s="79">
        <f t="shared" ref="Y94" si="123">S94</f>
        <v>0</v>
      </c>
      <c r="Z94" s="77">
        <f t="shared" ref="Z94" si="124">TRUNC(X94+W94+(IF(Y94&gt;519,519,Y94))+IF(R94=0,0,R94*U94),2)</f>
        <v>0</v>
      </c>
      <c r="AA94" s="77">
        <f t="shared" ref="AA94" si="125">TRUNC((IF(R94=0,P94*U94,(P94-R94)*U94))+(IF(Y94&lt;519,0,Y94-519)),2)+T94</f>
        <v>0</v>
      </c>
      <c r="AB94" s="77">
        <f t="shared" ref="AB94" si="126">Z94+AA94</f>
        <v>0</v>
      </c>
      <c r="AC94" s="77"/>
      <c r="AD94" s="77"/>
      <c r="AE94" s="77">
        <v>0</v>
      </c>
      <c r="AF94" s="80" t="e">
        <f t="shared" ref="AF94" si="127">IF(U94&gt;0.01,(AA94-VLOOKUP(AA94,quincenal,1))*VLOOKUP(AA94,quincenal,3)+VLOOKUP(AA94,quincenal,2)-VLOOKUP(AA94,subquincenal,2),0)</f>
        <v>#N/A</v>
      </c>
      <c r="AG94" s="77">
        <v>0</v>
      </c>
      <c r="AH94" s="81">
        <v>0</v>
      </c>
      <c r="AI94" s="81">
        <f t="shared" ref="AI94" si="128">AB94-AD94-AE94-AG94+AH94</f>
        <v>0</v>
      </c>
      <c r="AJ94" s="70"/>
      <c r="AM94" s="87"/>
    </row>
    <row r="95" spans="1:39" s="40" customFormat="1" ht="36" customHeight="1">
      <c r="A95" s="100">
        <f t="shared" si="106"/>
        <v>49</v>
      </c>
      <c r="B95" s="68"/>
      <c r="C95" s="68"/>
      <c r="D95" s="61" t="s">
        <v>478</v>
      </c>
      <c r="E95" s="140"/>
      <c r="F95" s="140"/>
      <c r="G95" s="63"/>
      <c r="H95" s="98" t="s">
        <v>477</v>
      </c>
      <c r="I95" s="98"/>
      <c r="J95" s="98"/>
      <c r="K95" s="98"/>
      <c r="L95" s="98"/>
      <c r="M95" s="98"/>
      <c r="N95" s="98"/>
      <c r="O95" s="98"/>
      <c r="P95" s="69">
        <v>15</v>
      </c>
      <c r="Q95" s="69" t="s">
        <v>209</v>
      </c>
      <c r="R95" s="69"/>
      <c r="S95" s="70">
        <v>0</v>
      </c>
      <c r="T95" s="71">
        <v>0</v>
      </c>
      <c r="U95" s="76">
        <f>3556/30</f>
        <v>118.53333333333333</v>
      </c>
      <c r="V95" s="77">
        <f t="shared" si="111"/>
        <v>1778</v>
      </c>
      <c r="W95" s="78">
        <f t="shared" si="112"/>
        <v>71.12</v>
      </c>
      <c r="X95" s="77">
        <f t="shared" si="113"/>
        <v>124.46</v>
      </c>
      <c r="Y95" s="79">
        <f t="shared" si="114"/>
        <v>0</v>
      </c>
      <c r="Z95" s="77">
        <f t="shared" si="115"/>
        <v>195.58</v>
      </c>
      <c r="AA95" s="77">
        <f t="shared" si="116"/>
        <v>1778</v>
      </c>
      <c r="AB95" s="77">
        <f t="shared" si="117"/>
        <v>1973.58</v>
      </c>
      <c r="AC95" s="77"/>
      <c r="AD95" s="77">
        <v>500</v>
      </c>
      <c r="AE95" s="77">
        <v>0</v>
      </c>
      <c r="AF95" s="80">
        <f t="shared" si="118"/>
        <v>-85.92583999999998</v>
      </c>
      <c r="AG95" s="79">
        <f t="shared" ref="AG95" si="129">TRUNC(IF(AF95&gt;0.01,AF95,0),2)</f>
        <v>0</v>
      </c>
      <c r="AH95" s="136">
        <f t="shared" ref="AH95" si="130">TRUNC(IF(AF95&lt;0.01,-AF95,0),2)</f>
        <v>85.92</v>
      </c>
      <c r="AI95" s="81">
        <f t="shared" si="119"/>
        <v>1559.5</v>
      </c>
      <c r="AJ95" s="70"/>
      <c r="AM95" s="87"/>
    </row>
    <row r="96" spans="1:39" s="40" customFormat="1" ht="36" customHeight="1">
      <c r="A96" s="100">
        <f t="shared" si="106"/>
        <v>50</v>
      </c>
      <c r="B96" s="155"/>
      <c r="C96" s="155"/>
      <c r="D96" s="61" t="s">
        <v>364</v>
      </c>
      <c r="E96" s="140" t="s">
        <v>152</v>
      </c>
      <c r="F96" s="140" t="s">
        <v>177</v>
      </c>
      <c r="G96" s="141">
        <v>39114</v>
      </c>
      <c r="H96" s="98" t="s">
        <v>54</v>
      </c>
      <c r="I96" s="98"/>
      <c r="J96" s="98"/>
      <c r="K96" s="98"/>
      <c r="L96" s="98"/>
      <c r="M96" s="98"/>
      <c r="N96" s="98"/>
      <c r="O96" s="98"/>
      <c r="P96" s="127">
        <v>15</v>
      </c>
      <c r="Q96" s="127" t="s">
        <v>209</v>
      </c>
      <c r="R96" s="127"/>
      <c r="S96" s="132">
        <v>0</v>
      </c>
      <c r="T96" s="133">
        <v>0</v>
      </c>
      <c r="U96" s="76">
        <f>5262/30</f>
        <v>175.4</v>
      </c>
      <c r="V96" s="79">
        <f t="shared" ref="V96" si="131">TRUNC(U96*P96,2)</f>
        <v>2631</v>
      </c>
      <c r="W96" s="135">
        <f t="shared" ref="W96" si="132">TRUNC(U96*P96*0.04,2)</f>
        <v>105.24</v>
      </c>
      <c r="X96" s="79">
        <f t="shared" ref="X96" si="133">TRUNC(U96*0.07*P96,2)</f>
        <v>184.17</v>
      </c>
      <c r="Y96" s="79">
        <f t="shared" ref="Y96" si="134">S96</f>
        <v>0</v>
      </c>
      <c r="Z96" s="79">
        <f t="shared" ref="Z96" si="135">TRUNC(X96+W96+(IF(Y96&gt;519,519,Y96))+IF(R96=0,0,R96*U96),2)</f>
        <v>289.41000000000003</v>
      </c>
      <c r="AA96" s="79">
        <f t="shared" ref="AA96" si="136">TRUNC((IF(R96=0,P96*U96,(P96-R96)*U96))+(IF(Y96&lt;519,0,Y96-519)),2)+T96</f>
        <v>2631</v>
      </c>
      <c r="AB96" s="79">
        <f t="shared" ref="AB96" si="137">Z96+AA96</f>
        <v>2920.41</v>
      </c>
      <c r="AC96" s="79"/>
      <c r="AD96" s="79"/>
      <c r="AE96" s="79">
        <v>0</v>
      </c>
      <c r="AF96" s="80">
        <f t="shared" ref="AF96" si="138">IF(U96&gt;0.01,(AA96-VLOOKUP(AA96,quincenal,1))*VLOOKUP(AA96,quincenal,3)+VLOOKUP(AA96,quincenal,2)-VLOOKUP(AA96,subquincenal,2),0)</f>
        <v>21.819711999999981</v>
      </c>
      <c r="AG96" s="79">
        <f t="shared" ref="AG96" si="139">TRUNC(IF(AF96&gt;0.01,AF96,0),2)</f>
        <v>21.81</v>
      </c>
      <c r="AH96" s="136">
        <f t="shared" ref="AH96" si="140">TRUNC(IF(AF96&lt;0.01,-AF96,0),2)</f>
        <v>0</v>
      </c>
      <c r="AI96" s="136">
        <f t="shared" ref="AI96" si="141">AB96-AD96-AE96-AG96+AH96</f>
        <v>2898.6</v>
      </c>
      <c r="AJ96" s="132"/>
      <c r="AK96" s="40">
        <v>62</v>
      </c>
      <c r="AM96" s="87"/>
    </row>
    <row r="97" spans="1:39" s="40" customFormat="1" ht="12.75">
      <c r="A97" s="100"/>
      <c r="B97" s="147"/>
      <c r="C97" s="147"/>
      <c r="D97" s="91" t="s">
        <v>224</v>
      </c>
      <c r="E97" s="43"/>
      <c r="F97" s="43"/>
      <c r="G97" s="44"/>
      <c r="H97" s="92"/>
      <c r="I97" s="92"/>
      <c r="J97" s="92"/>
      <c r="K97" s="92"/>
      <c r="L97" s="92"/>
      <c r="M97" s="92"/>
      <c r="N97" s="92"/>
      <c r="O97" s="92"/>
      <c r="P97" s="49"/>
      <c r="Q97" s="49"/>
      <c r="R97" s="49"/>
      <c r="S97" s="50"/>
      <c r="T97" s="51"/>
      <c r="U97" s="93"/>
      <c r="V97" s="94">
        <f>SUM(V88:V96)</f>
        <v>12890</v>
      </c>
      <c r="W97" s="94">
        <f t="shared" ref="W97:AI97" si="142">SUM(W88:W96)</f>
        <v>515.6</v>
      </c>
      <c r="X97" s="94">
        <f t="shared" si="142"/>
        <v>902.29</v>
      </c>
      <c r="Y97" s="94">
        <f t="shared" si="142"/>
        <v>0</v>
      </c>
      <c r="Z97" s="94">
        <f t="shared" si="142"/>
        <v>1417.89</v>
      </c>
      <c r="AA97" s="94">
        <f t="shared" si="142"/>
        <v>12890</v>
      </c>
      <c r="AB97" s="94">
        <f t="shared" si="142"/>
        <v>14307.89</v>
      </c>
      <c r="AC97" s="94">
        <f t="shared" si="142"/>
        <v>0</v>
      </c>
      <c r="AD97" s="94">
        <f t="shared" si="142"/>
        <v>1000</v>
      </c>
      <c r="AE97" s="94">
        <f t="shared" si="142"/>
        <v>0</v>
      </c>
      <c r="AF97" s="94" t="e">
        <f t="shared" si="142"/>
        <v>#N/A</v>
      </c>
      <c r="AG97" s="94">
        <f t="shared" si="142"/>
        <v>21.81</v>
      </c>
      <c r="AH97" s="94">
        <f t="shared" si="142"/>
        <v>801.42</v>
      </c>
      <c r="AI97" s="94">
        <f t="shared" si="142"/>
        <v>14087.500000000002</v>
      </c>
      <c r="AJ97" s="50"/>
    </row>
    <row r="98" spans="1:39" s="40" customFormat="1">
      <c r="A98" s="100"/>
      <c r="B98" s="147"/>
      <c r="C98" s="147"/>
      <c r="D98" s="122"/>
      <c r="E98" s="43"/>
      <c r="F98" s="43"/>
      <c r="G98" s="44"/>
      <c r="H98" s="92"/>
      <c r="I98" s="92"/>
      <c r="J98" s="92"/>
      <c r="K98" s="92"/>
      <c r="L98" s="92"/>
      <c r="M98" s="92"/>
      <c r="N98" s="92"/>
      <c r="O98" s="92"/>
      <c r="P98" s="49"/>
      <c r="Q98" s="49"/>
      <c r="R98" s="49"/>
      <c r="S98" s="50"/>
      <c r="T98" s="51"/>
      <c r="U98" s="93"/>
      <c r="V98" s="83"/>
      <c r="W98" s="148"/>
      <c r="X98" s="83"/>
      <c r="Y98" s="139"/>
      <c r="Z98" s="83"/>
      <c r="AA98" s="83"/>
      <c r="AB98" s="83"/>
      <c r="AC98" s="83"/>
      <c r="AD98" s="83"/>
      <c r="AE98" s="83"/>
      <c r="AF98" s="87"/>
      <c r="AG98" s="83"/>
      <c r="AH98" s="149"/>
      <c r="AI98" s="149"/>
      <c r="AJ98" s="50"/>
    </row>
    <row r="99" spans="1:39" s="40" customFormat="1" ht="12.75">
      <c r="A99" s="100"/>
      <c r="B99" s="147"/>
      <c r="C99" s="147"/>
      <c r="D99" s="91" t="s">
        <v>225</v>
      </c>
      <c r="E99" s="43"/>
      <c r="F99" s="43"/>
      <c r="G99" s="44"/>
      <c r="H99" s="92"/>
      <c r="I99" s="92"/>
      <c r="J99" s="92"/>
      <c r="K99" s="92"/>
      <c r="L99" s="92"/>
      <c r="M99" s="92"/>
      <c r="N99" s="92"/>
      <c r="O99" s="92"/>
      <c r="P99" s="49"/>
      <c r="Q99" s="49"/>
      <c r="R99" s="49"/>
      <c r="S99" s="50"/>
      <c r="T99" s="51"/>
      <c r="U99" s="93"/>
      <c r="V99" s="83"/>
      <c r="W99" s="148"/>
      <c r="X99" s="83"/>
      <c r="Y99" s="139"/>
      <c r="Z99" s="83"/>
      <c r="AA99" s="83"/>
      <c r="AB99" s="83"/>
      <c r="AC99" s="83"/>
      <c r="AD99" s="83"/>
      <c r="AE99" s="83"/>
      <c r="AF99" s="87"/>
      <c r="AG99" s="83"/>
      <c r="AH99" s="149"/>
      <c r="AI99" s="149"/>
      <c r="AJ99" s="50"/>
    </row>
    <row r="100" spans="1:39" s="40" customFormat="1" ht="36" customHeight="1">
      <c r="A100" s="100">
        <f>A96+1</f>
        <v>51</v>
      </c>
      <c r="B100" s="68" t="s">
        <v>55</v>
      </c>
      <c r="C100" s="68" t="s">
        <v>16</v>
      </c>
      <c r="D100" s="61" t="s">
        <v>377</v>
      </c>
      <c r="E100" s="62"/>
      <c r="F100" s="62"/>
      <c r="G100" s="63"/>
      <c r="H100" s="98" t="s">
        <v>56</v>
      </c>
      <c r="I100" s="98"/>
      <c r="J100" s="98"/>
      <c r="K100" s="98"/>
      <c r="L100" s="98"/>
      <c r="M100" s="98"/>
      <c r="N100" s="98"/>
      <c r="O100" s="98"/>
      <c r="P100" s="69">
        <v>15</v>
      </c>
      <c r="Q100" s="69" t="s">
        <v>209</v>
      </c>
      <c r="R100" s="69"/>
      <c r="S100" s="70">
        <v>0</v>
      </c>
      <c r="T100" s="71">
        <v>0</v>
      </c>
      <c r="U100" s="76">
        <f>17378/30</f>
        <v>579.26666666666665</v>
      </c>
      <c r="V100" s="77">
        <f>TRUNC(U100*P100,2)</f>
        <v>8689</v>
      </c>
      <c r="W100" s="78">
        <f>TRUNC(U100*P100*0.04,2)</f>
        <v>347.56</v>
      </c>
      <c r="X100" s="77">
        <f>TRUNC(U100*0.07*P100,2)</f>
        <v>608.23</v>
      </c>
      <c r="Y100" s="79">
        <f>S100</f>
        <v>0</v>
      </c>
      <c r="Z100" s="77">
        <f>TRUNC(X100+W100+(IF(Y100&gt;519,519,Y100))+IF(R100=0,0,R100*U100),2)</f>
        <v>955.79</v>
      </c>
      <c r="AA100" s="77">
        <f>TRUNC((IF(R100=0,P100*U100,(P100-R100)*U100))+(IF(Y100&lt;519,0,Y100-519)),2)+T100</f>
        <v>8689</v>
      </c>
      <c r="AB100" s="77">
        <f>Z100+AA100</f>
        <v>9644.7900000000009</v>
      </c>
      <c r="AC100" s="77"/>
      <c r="AD100" s="77">
        <v>0</v>
      </c>
      <c r="AE100" s="77">
        <v>0</v>
      </c>
      <c r="AF100" s="80">
        <f>IF(U100&gt;0.01,(AA100-VLOOKUP(AA100,quincenal,1))*VLOOKUP(AA100,quincenal,3)+VLOOKUP(AA100,quincenal,2)-VLOOKUP(AA100,subquincenal,2),0)</f>
        <v>1308.7812240000001</v>
      </c>
      <c r="AG100" s="77">
        <f>TRUNC(IF(AF100&gt;0.01,AF100,0),2)</f>
        <v>1308.78</v>
      </c>
      <c r="AH100" s="81">
        <f>TRUNC(IF(AF100&lt;0.01,-AF100,0),2)</f>
        <v>0</v>
      </c>
      <c r="AI100" s="81">
        <f>AB100-AD100-AE100-AG100+AH100</f>
        <v>8336.01</v>
      </c>
      <c r="AJ100" s="70"/>
      <c r="AK100" s="40">
        <v>63</v>
      </c>
      <c r="AM100" s="87"/>
    </row>
    <row r="101" spans="1:39" s="40" customFormat="1" ht="36" customHeight="1">
      <c r="A101" s="100">
        <f>A100+1</f>
        <v>52</v>
      </c>
      <c r="B101" s="68"/>
      <c r="C101" s="68"/>
      <c r="D101" s="61" t="s">
        <v>191</v>
      </c>
      <c r="E101" s="140" t="s">
        <v>192</v>
      </c>
      <c r="F101" s="140" t="s">
        <v>287</v>
      </c>
      <c r="G101" s="141">
        <v>39818</v>
      </c>
      <c r="H101" s="98" t="s">
        <v>207</v>
      </c>
      <c r="I101" s="98"/>
      <c r="J101" s="98"/>
      <c r="K101" s="98"/>
      <c r="L101" s="98"/>
      <c r="M101" s="98"/>
      <c r="N101" s="98"/>
      <c r="O101" s="98"/>
      <c r="P101" s="127">
        <v>15</v>
      </c>
      <c r="Q101" s="127" t="s">
        <v>209</v>
      </c>
      <c r="R101" s="127"/>
      <c r="S101" s="132">
        <v>0</v>
      </c>
      <c r="T101" s="133">
        <v>0</v>
      </c>
      <c r="U101" s="76">
        <f>10812/30</f>
        <v>360.4</v>
      </c>
      <c r="V101" s="79">
        <f>TRUNC(U101*P101,2)</f>
        <v>5406</v>
      </c>
      <c r="W101" s="135">
        <f>TRUNC(U101*P101*0.04,2)</f>
        <v>216.24</v>
      </c>
      <c r="X101" s="79">
        <f>TRUNC(U101*0.07*P101,2)</f>
        <v>378.42</v>
      </c>
      <c r="Y101" s="79">
        <f>S101</f>
        <v>0</v>
      </c>
      <c r="Z101" s="79">
        <f>TRUNC(X101+W101+(IF(Y101&gt;519,519,Y101))+IF(R101=0,0,R101*U101),2)</f>
        <v>594.66</v>
      </c>
      <c r="AA101" s="79">
        <f>TRUNC((IF(R101=0,P101*U101,(P101-R101)*U101))+(IF(Y101&lt;519,0,Y101-519)),2)+T101</f>
        <v>5406</v>
      </c>
      <c r="AB101" s="79">
        <f>Z101+AA101</f>
        <v>6000.66</v>
      </c>
      <c r="AC101" s="79"/>
      <c r="AD101" s="79"/>
      <c r="AE101" s="79">
        <v>0</v>
      </c>
      <c r="AF101" s="80">
        <f>IF(U101&gt;0.01,(AA101-VLOOKUP(AA101,quincenal,1))*VLOOKUP(AA101,quincenal,3)+VLOOKUP(AA101,quincenal,2)-VLOOKUP(AA101,subquincenal,2),0)</f>
        <v>607.53242400000011</v>
      </c>
      <c r="AG101" s="79">
        <f>TRUNC(IF(AF101&gt;0.01,AF101,0),2)</f>
        <v>607.53</v>
      </c>
      <c r="AH101" s="136">
        <f>TRUNC(IF(AF101&lt;0.01,-AF101,0),2)</f>
        <v>0</v>
      </c>
      <c r="AI101" s="136">
        <f>AB101-AD101-AE101-AG101+AH101</f>
        <v>5393.13</v>
      </c>
      <c r="AJ101" s="70"/>
      <c r="AK101" s="40">
        <v>64</v>
      </c>
      <c r="AM101" s="87"/>
    </row>
    <row r="102" spans="1:39" s="40" customFormat="1" ht="36" customHeight="1">
      <c r="A102" s="100">
        <f t="shared" ref="A102:A106" si="143">A101+1</f>
        <v>53</v>
      </c>
      <c r="B102" s="68"/>
      <c r="C102" s="68"/>
      <c r="D102" s="61" t="s">
        <v>409</v>
      </c>
      <c r="E102" s="62"/>
      <c r="F102" s="62"/>
      <c r="G102" s="63"/>
      <c r="H102" s="102" t="s">
        <v>19</v>
      </c>
      <c r="I102" s="102"/>
      <c r="J102" s="102"/>
      <c r="K102" s="102"/>
      <c r="L102" s="102"/>
      <c r="M102" s="102"/>
      <c r="N102" s="102"/>
      <c r="O102" s="102"/>
      <c r="P102" s="69">
        <v>15</v>
      </c>
      <c r="Q102" s="69" t="s">
        <v>209</v>
      </c>
      <c r="R102" s="69"/>
      <c r="S102" s="70">
        <v>0</v>
      </c>
      <c r="T102" s="71">
        <v>0</v>
      </c>
      <c r="U102" s="76">
        <v>165.506</v>
      </c>
      <c r="V102" s="77">
        <f>TRUNC(U102*P102,2)</f>
        <v>2482.59</v>
      </c>
      <c r="W102" s="78">
        <f>TRUNC(U102*P102*0.04,2)</f>
        <v>99.3</v>
      </c>
      <c r="X102" s="77">
        <f>TRUNC(U102*0.07*P102,2)</f>
        <v>173.78</v>
      </c>
      <c r="Y102" s="79">
        <f>S102</f>
        <v>0</v>
      </c>
      <c r="Z102" s="77">
        <f>TRUNC(X102+W102+(IF(Y102&gt;519,519,Y102))+IF(R102=0,0,R102*U102),2)</f>
        <v>273.08</v>
      </c>
      <c r="AA102" s="77">
        <f>TRUNC((IF(R102=0,P102*U102,(P102-R102)*U102))+(IF(Y102&lt;519,0,Y102-519)),2)+T102</f>
        <v>2482.59</v>
      </c>
      <c r="AB102" s="77">
        <f>Z102+AA102</f>
        <v>2755.67</v>
      </c>
      <c r="AC102" s="77"/>
      <c r="AD102" s="77">
        <v>0</v>
      </c>
      <c r="AE102" s="77">
        <v>0</v>
      </c>
      <c r="AF102" s="80">
        <f>IF(U102&gt;0.01,(AA102-VLOOKUP(AA102,quincenal,1))*VLOOKUP(AA102,quincenal,3)+VLOOKUP(AA102,quincenal,2)-VLOOKUP(AA102,subquincenal,2),0)</f>
        <v>5.6727039999999818</v>
      </c>
      <c r="AG102" s="77">
        <f>TRUNC(IF(AF102&gt;0.01,AF102,0),2)</f>
        <v>5.67</v>
      </c>
      <c r="AH102" s="81">
        <f>TRUNC(IF(AF102&lt;0.01,-AF102,0),2)</f>
        <v>0</v>
      </c>
      <c r="AI102" s="81">
        <f>AB102-AD102-AE102-AG102+AH102</f>
        <v>2750</v>
      </c>
      <c r="AJ102" s="70"/>
      <c r="AM102" s="87"/>
    </row>
    <row r="103" spans="1:39" s="40" customFormat="1" ht="36" customHeight="1">
      <c r="A103" s="100">
        <f t="shared" si="143"/>
        <v>54</v>
      </c>
      <c r="B103" s="68"/>
      <c r="C103" s="68"/>
      <c r="D103" s="61" t="s">
        <v>401</v>
      </c>
      <c r="E103" s="62"/>
      <c r="F103" s="62"/>
      <c r="G103" s="63"/>
      <c r="H103" s="98" t="s">
        <v>400</v>
      </c>
      <c r="I103" s="98"/>
      <c r="J103" s="98"/>
      <c r="K103" s="98"/>
      <c r="L103" s="98"/>
      <c r="M103" s="98"/>
      <c r="N103" s="98"/>
      <c r="O103" s="98"/>
      <c r="P103" s="69">
        <v>15</v>
      </c>
      <c r="Q103" s="69" t="s">
        <v>209</v>
      </c>
      <c r="R103" s="69"/>
      <c r="S103" s="70">
        <v>0</v>
      </c>
      <c r="T103" s="71">
        <v>0</v>
      </c>
      <c r="U103" s="76">
        <f>7195/30</f>
        <v>239.83333333333334</v>
      </c>
      <c r="V103" s="77">
        <f>TRUNC(U103*P103,2)</f>
        <v>3597.5</v>
      </c>
      <c r="W103" s="78">
        <f>TRUNC(U103*P103*0.04,2)</f>
        <v>143.9</v>
      </c>
      <c r="X103" s="77">
        <f>TRUNC(U103*0.07*P103,2)</f>
        <v>251.82</v>
      </c>
      <c r="Y103" s="79">
        <f>S103</f>
        <v>0</v>
      </c>
      <c r="Z103" s="77">
        <f>TRUNC(X103+W103+(IF(Y103&gt;519,519,Y103))+IF(R103=0,0,R103*U103),2)</f>
        <v>395.72</v>
      </c>
      <c r="AA103" s="77">
        <f>TRUNC((IF(R103=0,P103*U103,(P103-R103)*U103))+(IF(Y103&lt;519,0,Y103-519)),2)+T103</f>
        <v>3597.5</v>
      </c>
      <c r="AB103" s="77">
        <f>Z103+AA103</f>
        <v>3993.2200000000003</v>
      </c>
      <c r="AC103" s="77"/>
      <c r="AD103" s="77"/>
      <c r="AE103" s="77">
        <v>0</v>
      </c>
      <c r="AF103" s="80">
        <f>IF(U103&gt;0.01,(AA103-VLOOKUP(AA103,quincenal,1))*VLOOKUP(AA103,quincenal,3)+VLOOKUP(AA103,quincenal,2)-VLOOKUP(AA103,subquincenal,2),0)</f>
        <v>179.92491199999998</v>
      </c>
      <c r="AG103" s="77">
        <f>TRUNC(IF(AF103&gt;0.01,AF103,0),2)</f>
        <v>179.92</v>
      </c>
      <c r="AH103" s="81">
        <f>TRUNC(IF(AF103&lt;0.01,-AF103,0),2)</f>
        <v>0</v>
      </c>
      <c r="AI103" s="81">
        <f>AB103-AD103-AE103-AG103+AH103</f>
        <v>3813.3</v>
      </c>
      <c r="AJ103" s="70"/>
      <c r="AK103" s="40">
        <v>65</v>
      </c>
      <c r="AM103" s="87"/>
    </row>
    <row r="104" spans="1:39" s="40" customFormat="1" ht="36" customHeight="1">
      <c r="A104" s="100">
        <f t="shared" si="143"/>
        <v>55</v>
      </c>
      <c r="B104" s="68"/>
      <c r="C104" s="68"/>
      <c r="D104" s="61" t="s">
        <v>402</v>
      </c>
      <c r="E104" s="62"/>
      <c r="F104" s="62"/>
      <c r="G104" s="63"/>
      <c r="H104" s="98" t="s">
        <v>415</v>
      </c>
      <c r="I104" s="98"/>
      <c r="J104" s="98"/>
      <c r="K104" s="98"/>
      <c r="L104" s="98"/>
      <c r="M104" s="98"/>
      <c r="N104" s="98"/>
      <c r="O104" s="98"/>
      <c r="P104" s="69">
        <v>15</v>
      </c>
      <c r="Q104" s="69" t="s">
        <v>209</v>
      </c>
      <c r="R104" s="69"/>
      <c r="S104" s="70">
        <v>0</v>
      </c>
      <c r="T104" s="71">
        <v>0</v>
      </c>
      <c r="U104" s="76">
        <v>183.15199999999999</v>
      </c>
      <c r="V104" s="77">
        <f t="shared" ref="V104:V105" si="144">TRUNC(U104*P104,2)</f>
        <v>2747.28</v>
      </c>
      <c r="W104" s="78">
        <f t="shared" ref="W104:W105" si="145">TRUNC(U104*P104*0.04,2)</f>
        <v>109.89</v>
      </c>
      <c r="X104" s="77">
        <f t="shared" ref="X104:X105" si="146">TRUNC(U104*0.07*P104,2)</f>
        <v>192.3</v>
      </c>
      <c r="Y104" s="79">
        <f t="shared" ref="Y104:Y105" si="147">S104</f>
        <v>0</v>
      </c>
      <c r="Z104" s="77">
        <f t="shared" ref="Z104:Z105" si="148">TRUNC(X104+W104+(IF(Y104&gt;519,519,Y104))+IF(R104=0,0,R104*U104),2)</f>
        <v>302.19</v>
      </c>
      <c r="AA104" s="77">
        <f t="shared" ref="AA104:AA105" si="149">TRUNC((IF(R104=0,P104*U104,(P104-R104)*U104))+(IF(Y104&lt;519,0,Y104-519)),2)+T104</f>
        <v>2747.28</v>
      </c>
      <c r="AB104" s="77">
        <f t="shared" ref="AB104:AB105" si="150">Z104+AA104</f>
        <v>3049.4700000000003</v>
      </c>
      <c r="AC104" s="77"/>
      <c r="AD104" s="77">
        <v>500</v>
      </c>
      <c r="AE104" s="77">
        <v>0</v>
      </c>
      <c r="AF104" s="80">
        <f t="shared" ref="AF104" si="151">IF(U104&gt;0.01,(AA104-VLOOKUP(AA104,quincenal,1))*VLOOKUP(AA104,quincenal,3)+VLOOKUP(AA104,quincenal,2)-VLOOKUP(AA104,subquincenal,2),0)</f>
        <v>49.470976000000007</v>
      </c>
      <c r="AG104" s="77">
        <f t="shared" ref="AG104:AG105" si="152">TRUNC(IF(AF104&gt;0.01,AF104,0),2)</f>
        <v>49.47</v>
      </c>
      <c r="AH104" s="81">
        <f t="shared" ref="AH104:AH105" si="153">TRUNC(IF(AF104&lt;0.01,-AF104,0),2)</f>
        <v>0</v>
      </c>
      <c r="AI104" s="81">
        <f t="shared" ref="AI104:AI105" si="154">AB104-AD104-AE104-AG104+AH104</f>
        <v>2500.0000000000005</v>
      </c>
      <c r="AJ104" s="70"/>
      <c r="AK104" s="40">
        <v>66</v>
      </c>
      <c r="AM104" s="87"/>
    </row>
    <row r="105" spans="1:39" s="40" customFormat="1" ht="36" customHeight="1">
      <c r="A105" s="100">
        <f t="shared" si="143"/>
        <v>56</v>
      </c>
      <c r="B105" s="155"/>
      <c r="C105" s="155"/>
      <c r="D105" s="61" t="s">
        <v>493</v>
      </c>
      <c r="E105" s="62"/>
      <c r="F105" s="62"/>
      <c r="G105" s="63"/>
      <c r="H105" s="98" t="s">
        <v>207</v>
      </c>
      <c r="I105" s="98"/>
      <c r="J105" s="98"/>
      <c r="K105" s="98"/>
      <c r="L105" s="98"/>
      <c r="M105" s="98"/>
      <c r="N105" s="98"/>
      <c r="O105" s="98"/>
      <c r="P105" s="205">
        <v>15</v>
      </c>
      <c r="Q105" s="211" t="s">
        <v>209</v>
      </c>
      <c r="R105" s="206"/>
      <c r="S105" s="207">
        <v>0</v>
      </c>
      <c r="T105" s="208">
        <v>0</v>
      </c>
      <c r="U105" s="76">
        <v>183.15199999999999</v>
      </c>
      <c r="V105" s="79">
        <f t="shared" si="144"/>
        <v>2747.28</v>
      </c>
      <c r="W105" s="135">
        <f t="shared" si="145"/>
        <v>109.89</v>
      </c>
      <c r="X105" s="79">
        <f t="shared" si="146"/>
        <v>192.3</v>
      </c>
      <c r="Y105" s="79">
        <f t="shared" si="147"/>
        <v>0</v>
      </c>
      <c r="Z105" s="79">
        <f t="shared" si="148"/>
        <v>302.19</v>
      </c>
      <c r="AA105" s="79">
        <f t="shared" si="149"/>
        <v>2747.28</v>
      </c>
      <c r="AB105" s="79">
        <f t="shared" si="150"/>
        <v>3049.4700000000003</v>
      </c>
      <c r="AC105" s="79"/>
      <c r="AD105" s="79">
        <v>0</v>
      </c>
      <c r="AE105" s="79">
        <v>0</v>
      </c>
      <c r="AF105" s="80">
        <f>IF(U105&gt;0.01,(AA105-VLOOKUP(AA105,quincenal,1))*VLOOKUP(AA105,quincenal,3)+VLOOKUP(AA105,quincenal,2)-VLOOKUP(AA105,subquincenal,2),0)</f>
        <v>49.470976000000007</v>
      </c>
      <c r="AG105" s="79">
        <f t="shared" si="152"/>
        <v>49.47</v>
      </c>
      <c r="AH105" s="136">
        <f t="shared" si="153"/>
        <v>0</v>
      </c>
      <c r="AI105" s="136">
        <f t="shared" si="154"/>
        <v>3000.0000000000005</v>
      </c>
      <c r="AJ105" s="70"/>
      <c r="AM105" s="87"/>
    </row>
    <row r="106" spans="1:39" s="40" customFormat="1" ht="36" customHeight="1">
      <c r="A106" s="100">
        <f t="shared" si="143"/>
        <v>57</v>
      </c>
      <c r="B106" s="155"/>
      <c r="C106" s="155"/>
      <c r="D106" s="61" t="s">
        <v>58</v>
      </c>
      <c r="E106" s="140" t="s">
        <v>161</v>
      </c>
      <c r="F106" s="140" t="s">
        <v>185</v>
      </c>
      <c r="G106" s="141">
        <v>39113</v>
      </c>
      <c r="H106" s="98" t="s">
        <v>207</v>
      </c>
      <c r="I106" s="98"/>
      <c r="J106" s="98"/>
      <c r="K106" s="98"/>
      <c r="L106" s="98"/>
      <c r="M106" s="98"/>
      <c r="N106" s="98"/>
      <c r="O106" s="98"/>
      <c r="P106" s="127">
        <v>15</v>
      </c>
      <c r="Q106" s="127" t="s">
        <v>209</v>
      </c>
      <c r="R106" s="127"/>
      <c r="S106" s="132">
        <v>0</v>
      </c>
      <c r="T106" s="133">
        <v>0</v>
      </c>
      <c r="U106" s="76">
        <f>9761/30</f>
        <v>325.36666666666667</v>
      </c>
      <c r="V106" s="79">
        <f>TRUNC(U106*P106,2)</f>
        <v>4880.5</v>
      </c>
      <c r="W106" s="135">
        <f>TRUNC(U106*P106*0.04,2)</f>
        <v>195.22</v>
      </c>
      <c r="X106" s="79">
        <f>TRUNC(U106*0.07*P106,2)</f>
        <v>341.63</v>
      </c>
      <c r="Y106" s="79">
        <f>S106</f>
        <v>0</v>
      </c>
      <c r="Z106" s="79">
        <f>TRUNC(X106+W106+(IF(Y106&gt;519,519,Y106))+IF(R106=0,0,R106*U106),2)</f>
        <v>536.85</v>
      </c>
      <c r="AA106" s="79">
        <f>TRUNC((IF(R106=0,P106*U106,(P106-R106)*U106))+(IF(Y106&lt;519,0,Y106-519)),2)+T106</f>
        <v>4880.5</v>
      </c>
      <c r="AB106" s="79">
        <f>Z106+AA106</f>
        <v>5417.35</v>
      </c>
      <c r="AC106" s="79"/>
      <c r="AD106" s="79"/>
      <c r="AE106" s="79">
        <v>0</v>
      </c>
      <c r="AF106" s="80">
        <f>IF(U106&gt;0.01,(AA106-VLOOKUP(AA106,quincenal,1))*VLOOKUP(AA106,quincenal,3)+VLOOKUP(AA106,quincenal,2)-VLOOKUP(AA106,subquincenal,2),0)</f>
        <v>502.09108800000007</v>
      </c>
      <c r="AG106" s="79">
        <f>TRUNC(IF(AF106&gt;0.01,AF106,0),2)</f>
        <v>502.09</v>
      </c>
      <c r="AH106" s="136">
        <f>TRUNC(IF(AF106&lt;0.01,-AF106,0),2)</f>
        <v>0</v>
      </c>
      <c r="AI106" s="136">
        <f>AB106-AD106-AE106-AG106+AH106</f>
        <v>4915.26</v>
      </c>
      <c r="AJ106" s="132"/>
      <c r="AK106" s="40">
        <v>67</v>
      </c>
      <c r="AM106" s="87"/>
    </row>
    <row r="107" spans="1:39" s="40" customFormat="1" ht="12.75">
      <c r="A107" s="100"/>
      <c r="B107" s="147"/>
      <c r="C107" s="147"/>
      <c r="D107" s="91" t="s">
        <v>225</v>
      </c>
      <c r="E107" s="43"/>
      <c r="F107" s="43"/>
      <c r="G107" s="44"/>
      <c r="H107" s="92"/>
      <c r="I107" s="92"/>
      <c r="J107" s="92"/>
      <c r="K107" s="92"/>
      <c r="L107" s="92"/>
      <c r="M107" s="92"/>
      <c r="N107" s="92"/>
      <c r="O107" s="92"/>
      <c r="P107" s="49"/>
      <c r="Q107" s="49"/>
      <c r="R107" s="49"/>
      <c r="S107" s="50"/>
      <c r="T107" s="51"/>
      <c r="U107" s="93"/>
      <c r="V107" s="94">
        <f>SUM(V100:V106)</f>
        <v>30550.149999999998</v>
      </c>
      <c r="W107" s="94">
        <f t="shared" ref="W107:AI107" si="155">SUM(W100:W106)</f>
        <v>1222</v>
      </c>
      <c r="X107" s="94">
        <f t="shared" si="155"/>
        <v>2138.48</v>
      </c>
      <c r="Y107" s="94">
        <f t="shared" si="155"/>
        <v>0</v>
      </c>
      <c r="Z107" s="94">
        <f t="shared" si="155"/>
        <v>3360.48</v>
      </c>
      <c r="AA107" s="94">
        <f t="shared" si="155"/>
        <v>30550.149999999998</v>
      </c>
      <c r="AB107" s="94">
        <f t="shared" si="155"/>
        <v>33910.630000000005</v>
      </c>
      <c r="AC107" s="94">
        <f t="shared" si="155"/>
        <v>0</v>
      </c>
      <c r="AD107" s="94">
        <f t="shared" si="155"/>
        <v>500</v>
      </c>
      <c r="AE107" s="94">
        <f t="shared" si="155"/>
        <v>0</v>
      </c>
      <c r="AF107" s="94">
        <f t="shared" si="155"/>
        <v>2702.9443040000006</v>
      </c>
      <c r="AG107" s="94">
        <f t="shared" si="155"/>
        <v>2702.93</v>
      </c>
      <c r="AH107" s="94">
        <f t="shared" si="155"/>
        <v>0</v>
      </c>
      <c r="AI107" s="94">
        <f t="shared" si="155"/>
        <v>30707.699999999997</v>
      </c>
      <c r="AJ107" s="50"/>
    </row>
    <row r="108" spans="1:39" s="40" customFormat="1">
      <c r="A108" s="100"/>
      <c r="B108" s="147"/>
      <c r="C108" s="147"/>
      <c r="D108" s="122"/>
      <c r="E108" s="43"/>
      <c r="F108" s="43"/>
      <c r="G108" s="44"/>
      <c r="H108" s="92"/>
      <c r="I108" s="92"/>
      <c r="J108" s="92"/>
      <c r="K108" s="92"/>
      <c r="L108" s="92"/>
      <c r="M108" s="92"/>
      <c r="N108" s="92"/>
      <c r="O108" s="92"/>
      <c r="P108" s="49"/>
      <c r="Q108" s="49"/>
      <c r="R108" s="49"/>
      <c r="S108" s="50"/>
      <c r="T108" s="51"/>
      <c r="U108" s="93"/>
      <c r="V108" s="83"/>
      <c r="W108" s="148"/>
      <c r="X108" s="83"/>
      <c r="Y108" s="139"/>
      <c r="Z108" s="83"/>
      <c r="AA108" s="83"/>
      <c r="AB108" s="83"/>
      <c r="AC108" s="83"/>
      <c r="AD108" s="83"/>
      <c r="AE108" s="83"/>
      <c r="AF108" s="87"/>
      <c r="AG108" s="83"/>
      <c r="AH108" s="149"/>
      <c r="AI108" s="149"/>
      <c r="AJ108" s="50"/>
    </row>
    <row r="109" spans="1:39" s="40" customFormat="1" ht="12.75">
      <c r="A109" s="100"/>
      <c r="B109" s="147"/>
      <c r="C109" s="147"/>
      <c r="D109" s="91" t="s">
        <v>133</v>
      </c>
      <c r="E109" s="43"/>
      <c r="F109" s="43"/>
      <c r="G109" s="44"/>
      <c r="H109" s="92"/>
      <c r="I109" s="92"/>
      <c r="J109" s="92"/>
      <c r="K109" s="92"/>
      <c r="L109" s="92"/>
      <c r="M109" s="92"/>
      <c r="N109" s="92"/>
      <c r="O109" s="92"/>
      <c r="P109" s="49"/>
      <c r="Q109" s="49"/>
      <c r="R109" s="49"/>
      <c r="S109" s="50"/>
      <c r="T109" s="51"/>
      <c r="U109" s="93"/>
      <c r="V109" s="83"/>
      <c r="W109" s="148"/>
      <c r="X109" s="83"/>
      <c r="Y109" s="139"/>
      <c r="Z109" s="83"/>
      <c r="AA109" s="83"/>
      <c r="AB109" s="83"/>
      <c r="AC109" s="83"/>
      <c r="AD109" s="83"/>
      <c r="AE109" s="83"/>
      <c r="AF109" s="87"/>
      <c r="AG109" s="83"/>
      <c r="AH109" s="149"/>
      <c r="AI109" s="149"/>
      <c r="AJ109" s="50"/>
    </row>
    <row r="110" spans="1:39" s="40" customFormat="1" ht="36" customHeight="1">
      <c r="A110" s="100">
        <f>A106+1</f>
        <v>58</v>
      </c>
      <c r="B110" s="68" t="s">
        <v>90</v>
      </c>
      <c r="C110" s="68" t="s">
        <v>99</v>
      </c>
      <c r="D110" s="61" t="s">
        <v>255</v>
      </c>
      <c r="E110" s="144" t="s">
        <v>269</v>
      </c>
      <c r="F110" s="144" t="s">
        <v>270</v>
      </c>
      <c r="G110" s="161"/>
      <c r="H110" s="102" t="s">
        <v>243</v>
      </c>
      <c r="I110" s="102"/>
      <c r="J110" s="102"/>
      <c r="K110" s="102"/>
      <c r="L110" s="102"/>
      <c r="M110" s="102"/>
      <c r="N110" s="102"/>
      <c r="O110" s="102"/>
      <c r="P110" s="127">
        <v>15</v>
      </c>
      <c r="Q110" s="127" t="s">
        <v>209</v>
      </c>
      <c r="R110" s="127"/>
      <c r="S110" s="132">
        <v>0</v>
      </c>
      <c r="T110" s="133">
        <v>0</v>
      </c>
      <c r="U110" s="76">
        <f>6714/30</f>
        <v>223.8</v>
      </c>
      <c r="V110" s="79">
        <f>TRUNC(U110*P110,2)</f>
        <v>3357</v>
      </c>
      <c r="W110" s="135">
        <f>TRUNC(U110*P110*0.04,2)</f>
        <v>134.28</v>
      </c>
      <c r="X110" s="79">
        <f>TRUNC(U110*0.07*P110,2)</f>
        <v>234.99</v>
      </c>
      <c r="Y110" s="79">
        <f>S110</f>
        <v>0</v>
      </c>
      <c r="Z110" s="79">
        <f>TRUNC(X110+W110+(IF(Y110&gt;519,519,Y110))+IF(R110=0,0,R110*U110),2)</f>
        <v>369.27</v>
      </c>
      <c r="AA110" s="79">
        <f>TRUNC((IF(R110=0,P110*U110,(P110-R110)*U110))+(IF(Y110&lt;519,0,Y110-519)),2)+T110</f>
        <v>3357</v>
      </c>
      <c r="AB110" s="79">
        <f>Z110+AA110</f>
        <v>3726.27</v>
      </c>
      <c r="AC110" s="79"/>
      <c r="AD110" s="79"/>
      <c r="AE110" s="79">
        <v>0</v>
      </c>
      <c r="AF110" s="80">
        <f>IF(U110&gt;0.01,(AA110-VLOOKUP(AA110,quincenal,1))*VLOOKUP(AA110,quincenal,3)+VLOOKUP(AA110,quincenal,2)-VLOOKUP(AA110,subquincenal,2),0)</f>
        <v>136.05851199999998</v>
      </c>
      <c r="AG110" s="79">
        <f>TRUNC(IF(AF110&gt;0.01,AF110,0),2)</f>
        <v>136.05000000000001</v>
      </c>
      <c r="AH110" s="136">
        <f>TRUNC(IF(AF110&lt;0.01,-AF110,0),2)</f>
        <v>0</v>
      </c>
      <c r="AI110" s="136">
        <f>AB110-AD110-AE110-AG110+AH110</f>
        <v>3590.22</v>
      </c>
      <c r="AJ110" s="132"/>
      <c r="AK110" s="40">
        <v>68</v>
      </c>
      <c r="AM110" s="87"/>
    </row>
    <row r="111" spans="1:39" s="40" customFormat="1" ht="36" customHeight="1">
      <c r="A111" s="100">
        <f>A110+1</f>
        <v>59</v>
      </c>
      <c r="B111" s="155"/>
      <c r="C111" s="155"/>
      <c r="D111" s="61" t="s">
        <v>61</v>
      </c>
      <c r="E111" s="140" t="s">
        <v>145</v>
      </c>
      <c r="F111" s="140" t="s">
        <v>167</v>
      </c>
      <c r="G111" s="141">
        <v>39083</v>
      </c>
      <c r="H111" s="98" t="s">
        <v>62</v>
      </c>
      <c r="I111" s="98"/>
      <c r="J111" s="98"/>
      <c r="K111" s="98"/>
      <c r="L111" s="98"/>
      <c r="M111" s="98"/>
      <c r="N111" s="98"/>
      <c r="O111" s="98"/>
      <c r="P111" s="127">
        <v>15</v>
      </c>
      <c r="Q111" s="127" t="s">
        <v>209</v>
      </c>
      <c r="R111" s="127"/>
      <c r="S111" s="132">
        <v>0</v>
      </c>
      <c r="T111" s="133">
        <v>0</v>
      </c>
      <c r="U111" s="76">
        <f>6273/30</f>
        <v>209.1</v>
      </c>
      <c r="V111" s="79">
        <f>TRUNC(U111*P111,2)</f>
        <v>3136.5</v>
      </c>
      <c r="W111" s="135">
        <f>TRUNC(U111*P111*0.04,2)</f>
        <v>125.46</v>
      </c>
      <c r="X111" s="79">
        <f>TRUNC(U111*0.07*P111,2)</f>
        <v>219.55</v>
      </c>
      <c r="Y111" s="79">
        <f>S111</f>
        <v>0</v>
      </c>
      <c r="Z111" s="79">
        <f>TRUNC(X111+W111+(IF(Y111&gt;519,519,Y111))+IF(R111=0,0,R111*U111),2)</f>
        <v>345.01</v>
      </c>
      <c r="AA111" s="79">
        <f>TRUNC((IF(R111=0,P111*U111,(P111-R111)*U111))+(IF(Y111&lt;519,0,Y111-519)),2)+T111</f>
        <v>3136.5</v>
      </c>
      <c r="AB111" s="79">
        <f>Z111+AA111</f>
        <v>3481.51</v>
      </c>
      <c r="AC111" s="79"/>
      <c r="AD111" s="79"/>
      <c r="AE111" s="79">
        <v>0</v>
      </c>
      <c r="AF111" s="80">
        <f>IF(U111&gt;0.01,(AA111-VLOOKUP(AA111,quincenal,1))*VLOOKUP(AA111,quincenal,3)+VLOOKUP(AA111,quincenal,2)-VLOOKUP(AA111,subquincenal,2),0)</f>
        <v>112.06811199999999</v>
      </c>
      <c r="AG111" s="79">
        <f>TRUNC(IF(AF111&gt;0.01,AF111,0),2)</f>
        <v>112.06</v>
      </c>
      <c r="AH111" s="136">
        <f>TRUNC(IF(AF111&lt;0.01,-AF111,0),2)</f>
        <v>0</v>
      </c>
      <c r="AI111" s="136">
        <f>AB111-AD111-AE111-AG111+AH111</f>
        <v>3369.4500000000003</v>
      </c>
      <c r="AJ111" s="132"/>
      <c r="AK111" s="40">
        <v>69</v>
      </c>
      <c r="AM111" s="87"/>
    </row>
    <row r="112" spans="1:39" s="40" customFormat="1" ht="36" customHeight="1">
      <c r="A112" s="100">
        <f>A111+1</f>
        <v>60</v>
      </c>
      <c r="B112" s="155"/>
      <c r="C112" s="155"/>
      <c r="D112" s="61" t="s">
        <v>452</v>
      </c>
      <c r="E112" s="140"/>
      <c r="F112" s="140"/>
      <c r="G112" s="141"/>
      <c r="H112" s="102" t="s">
        <v>453</v>
      </c>
      <c r="I112" s="102"/>
      <c r="J112" s="102"/>
      <c r="K112" s="102"/>
      <c r="L112" s="102"/>
      <c r="M112" s="102"/>
      <c r="N112" s="102"/>
      <c r="O112" s="102"/>
      <c r="P112" s="127">
        <v>15</v>
      </c>
      <c r="Q112" s="127"/>
      <c r="R112" s="127"/>
      <c r="S112" s="132"/>
      <c r="T112" s="133"/>
      <c r="U112" s="76">
        <f>6338/30</f>
        <v>211.26666666666668</v>
      </c>
      <c r="V112" s="79">
        <f>TRUNC(U112*P112,2)</f>
        <v>3169</v>
      </c>
      <c r="W112" s="135">
        <f>TRUNC(U112*P112*0.04,2)</f>
        <v>126.76</v>
      </c>
      <c r="X112" s="79">
        <f>TRUNC(U112*0.07*P112,2)</f>
        <v>221.83</v>
      </c>
      <c r="Y112" s="79">
        <f>S112</f>
        <v>0</v>
      </c>
      <c r="Z112" s="79">
        <f>TRUNC(X112+W112+(IF(Y112&gt;519,519,Y112))+IF(R112=0,0,R112*U112),2)</f>
        <v>348.59</v>
      </c>
      <c r="AA112" s="79">
        <f>TRUNC((IF(R112=0,P112*U112,(P112-R112)*U112))+(IF(Y112&lt;519,0,Y112-519)),2)+T112</f>
        <v>3169</v>
      </c>
      <c r="AB112" s="79">
        <f>Z112+AA112</f>
        <v>3517.59</v>
      </c>
      <c r="AC112" s="79"/>
      <c r="AD112" s="79"/>
      <c r="AE112" s="79">
        <v>0</v>
      </c>
      <c r="AF112" s="80">
        <f>IF(U112&gt;0.01,(AA112-VLOOKUP(AA112,quincenal,1))*VLOOKUP(AA112,quincenal,3)+VLOOKUP(AA112,quincenal,2)-VLOOKUP(AA112,subquincenal,2),0)</f>
        <v>115.60411199999996</v>
      </c>
      <c r="AG112" s="79">
        <f>TRUNC(IF(AF112&gt;0.01,AF112,0),2)</f>
        <v>115.6</v>
      </c>
      <c r="AH112" s="136">
        <f>TRUNC(IF(AF112&lt;0.01,-AF112,0),2)</f>
        <v>0</v>
      </c>
      <c r="AI112" s="136">
        <f>AB112-AD112-AE112-AG112+AH112</f>
        <v>3401.9900000000002</v>
      </c>
      <c r="AJ112" s="132"/>
      <c r="AK112" s="40">
        <v>70</v>
      </c>
      <c r="AM112" s="87"/>
    </row>
    <row r="113" spans="1:39" s="40" customFormat="1" ht="12.75">
      <c r="A113" s="100"/>
      <c r="B113" s="147"/>
      <c r="C113" s="147"/>
      <c r="D113" s="91" t="s">
        <v>133</v>
      </c>
      <c r="E113" s="43"/>
      <c r="F113" s="43"/>
      <c r="G113" s="44"/>
      <c r="H113" s="92"/>
      <c r="I113" s="92"/>
      <c r="J113" s="92"/>
      <c r="K113" s="92"/>
      <c r="L113" s="92"/>
      <c r="M113" s="92"/>
      <c r="N113" s="92"/>
      <c r="O113" s="92"/>
      <c r="P113" s="49"/>
      <c r="Q113" s="49"/>
      <c r="R113" s="49"/>
      <c r="S113" s="50"/>
      <c r="T113" s="51"/>
      <c r="U113" s="93"/>
      <c r="V113" s="94">
        <f>SUM(V110:V112)</f>
        <v>9662.5</v>
      </c>
      <c r="W113" s="94">
        <f t="shared" ref="W113:AI113" si="156">SUM(W110:W112)</f>
        <v>386.5</v>
      </c>
      <c r="X113" s="94">
        <f t="shared" si="156"/>
        <v>676.37</v>
      </c>
      <c r="Y113" s="94">
        <f t="shared" si="156"/>
        <v>0</v>
      </c>
      <c r="Z113" s="94">
        <f t="shared" si="156"/>
        <v>1062.8699999999999</v>
      </c>
      <c r="AA113" s="94">
        <f t="shared" si="156"/>
        <v>9662.5</v>
      </c>
      <c r="AB113" s="94">
        <f t="shared" si="156"/>
        <v>10725.37</v>
      </c>
      <c r="AC113" s="94">
        <f t="shared" si="156"/>
        <v>0</v>
      </c>
      <c r="AD113" s="94">
        <f t="shared" si="156"/>
        <v>0</v>
      </c>
      <c r="AE113" s="94">
        <f t="shared" si="156"/>
        <v>0</v>
      </c>
      <c r="AF113" s="94">
        <f t="shared" si="156"/>
        <v>363.73073599999992</v>
      </c>
      <c r="AG113" s="94">
        <f t="shared" si="156"/>
        <v>363.71000000000004</v>
      </c>
      <c r="AH113" s="94">
        <f t="shared" si="156"/>
        <v>0</v>
      </c>
      <c r="AI113" s="94">
        <f t="shared" si="156"/>
        <v>10361.66</v>
      </c>
      <c r="AJ113" s="50"/>
    </row>
    <row r="114" spans="1:39" s="40" customFormat="1">
      <c r="A114" s="100"/>
      <c r="B114" s="147"/>
      <c r="C114" s="147"/>
      <c r="D114" s="122"/>
      <c r="E114" s="43"/>
      <c r="F114" s="43"/>
      <c r="G114" s="44"/>
      <c r="H114" s="92"/>
      <c r="I114" s="92"/>
      <c r="J114" s="92"/>
      <c r="K114" s="92"/>
      <c r="L114" s="92"/>
      <c r="M114" s="92"/>
      <c r="N114" s="92"/>
      <c r="O114" s="92"/>
      <c r="P114" s="49"/>
      <c r="Q114" s="49"/>
      <c r="R114" s="49"/>
      <c r="S114" s="50"/>
      <c r="T114" s="51"/>
      <c r="U114" s="93"/>
      <c r="V114" s="83"/>
      <c r="W114" s="148"/>
      <c r="X114" s="83"/>
      <c r="Y114" s="139"/>
      <c r="Z114" s="83"/>
      <c r="AA114" s="83"/>
      <c r="AB114" s="83"/>
      <c r="AC114" s="83"/>
      <c r="AD114" s="83"/>
      <c r="AE114" s="83"/>
      <c r="AF114" s="87"/>
      <c r="AG114" s="83"/>
      <c r="AH114" s="149"/>
      <c r="AI114" s="149"/>
      <c r="AJ114" s="50"/>
    </row>
    <row r="115" spans="1:39" s="40" customFormat="1" ht="12.75">
      <c r="A115" s="100"/>
      <c r="B115" s="147"/>
      <c r="C115" s="147"/>
      <c r="D115" s="91" t="s">
        <v>469</v>
      </c>
      <c r="E115" s="43"/>
      <c r="F115" s="43"/>
      <c r="G115" s="44"/>
      <c r="H115" s="92"/>
      <c r="I115" s="92"/>
      <c r="J115" s="92"/>
      <c r="K115" s="92"/>
      <c r="L115" s="92"/>
      <c r="M115" s="92"/>
      <c r="N115" s="92"/>
      <c r="O115" s="92"/>
      <c r="P115" s="49"/>
      <c r="Q115" s="49"/>
      <c r="R115" s="49"/>
      <c r="S115" s="50"/>
      <c r="T115" s="51"/>
      <c r="U115" s="93"/>
      <c r="V115" s="83"/>
      <c r="W115" s="148"/>
      <c r="X115" s="83"/>
      <c r="Y115" s="139"/>
      <c r="Z115" s="83"/>
      <c r="AA115" s="83"/>
      <c r="AB115" s="83"/>
      <c r="AC115" s="83"/>
      <c r="AD115" s="83"/>
      <c r="AE115" s="83"/>
      <c r="AF115" s="87"/>
      <c r="AG115" s="83"/>
      <c r="AH115" s="149"/>
      <c r="AI115" s="149"/>
      <c r="AJ115" s="50"/>
    </row>
    <row r="116" spans="1:39" s="40" customFormat="1" ht="24" customHeight="1">
      <c r="A116" s="100">
        <f>A112+1</f>
        <v>61</v>
      </c>
      <c r="B116" s="146" t="s">
        <v>55</v>
      </c>
      <c r="C116" s="68" t="s">
        <v>29</v>
      </c>
      <c r="D116" s="61" t="s">
        <v>470</v>
      </c>
      <c r="E116" s="144" t="s">
        <v>292</v>
      </c>
      <c r="F116" s="62"/>
      <c r="G116" s="63"/>
      <c r="H116" s="98" t="s">
        <v>471</v>
      </c>
      <c r="I116" s="98"/>
      <c r="J116" s="98"/>
      <c r="K116" s="98"/>
      <c r="L116" s="98"/>
      <c r="M116" s="98"/>
      <c r="N116" s="98"/>
      <c r="O116" s="98"/>
      <c r="P116" s="69">
        <v>15</v>
      </c>
      <c r="Q116" s="69" t="s">
        <v>209</v>
      </c>
      <c r="R116" s="69"/>
      <c r="S116" s="70">
        <v>0</v>
      </c>
      <c r="T116" s="71">
        <v>0</v>
      </c>
      <c r="U116" s="76">
        <f>6795/30</f>
        <v>226.5</v>
      </c>
      <c r="V116" s="77">
        <f>TRUNC(U116*P116,2)</f>
        <v>3397.5</v>
      </c>
      <c r="W116" s="78">
        <f>TRUNC(U116*P116*0.04,2)</f>
        <v>135.9</v>
      </c>
      <c r="X116" s="77">
        <f>TRUNC(U116*0.07*P116,2)</f>
        <v>237.82</v>
      </c>
      <c r="Y116" s="79">
        <f>S116</f>
        <v>0</v>
      </c>
      <c r="Z116" s="77">
        <f>TRUNC(X116+W116+(IF(Y116&gt;519,519,Y116))+IF(R116=0,0,R116*U116),2)</f>
        <v>373.72</v>
      </c>
      <c r="AA116" s="77">
        <f>TRUNC((IF(R116=0,P116*U116,(P116-R116)*U116))+(IF(Y116&lt;519,0,Y116-519)),2)+T116</f>
        <v>3397.5</v>
      </c>
      <c r="AB116" s="77">
        <f>Z116+AA116</f>
        <v>3771.2200000000003</v>
      </c>
      <c r="AC116" s="77"/>
      <c r="AD116" s="77"/>
      <c r="AE116" s="77">
        <v>0</v>
      </c>
      <c r="AF116" s="80">
        <f>IF(U116&gt;0.01,(AA116-VLOOKUP(AA116,quincenal,1))*VLOOKUP(AA116,quincenal,3)+VLOOKUP(AA116,quincenal,2)-VLOOKUP(AA116,subquincenal,2),0)</f>
        <v>140.464912</v>
      </c>
      <c r="AG116" s="77">
        <f>TRUNC(IF(AF116&gt;0.01,AF116,0),2)</f>
        <v>140.46</v>
      </c>
      <c r="AH116" s="81">
        <f>TRUNC(IF(AF116&lt;0.01,-AF116,0),2)</f>
        <v>0</v>
      </c>
      <c r="AI116" s="81">
        <f>AB116-AD116-AE116-AG116+AH116</f>
        <v>3630.76</v>
      </c>
      <c r="AJ116" s="70"/>
      <c r="AK116" s="40">
        <v>72</v>
      </c>
      <c r="AM116" s="87"/>
    </row>
    <row r="117" spans="1:39" s="40" customFormat="1" ht="12.75">
      <c r="A117" s="100"/>
      <c r="B117" s="162"/>
      <c r="C117" s="147"/>
      <c r="D117" s="91" t="s">
        <v>134</v>
      </c>
      <c r="E117" s="43"/>
      <c r="F117" s="43"/>
      <c r="G117" s="44"/>
      <c r="H117" s="92"/>
      <c r="I117" s="92"/>
      <c r="J117" s="92"/>
      <c r="K117" s="92"/>
      <c r="L117" s="92"/>
      <c r="M117" s="92"/>
      <c r="N117" s="92"/>
      <c r="O117" s="92"/>
      <c r="P117" s="49"/>
      <c r="Q117" s="49"/>
      <c r="R117" s="49"/>
      <c r="S117" s="50"/>
      <c r="T117" s="51"/>
      <c r="U117" s="93"/>
      <c r="V117" s="94">
        <f>SUM(V116)</f>
        <v>3397.5</v>
      </c>
      <c r="W117" s="94">
        <f t="shared" ref="W117:AI117" si="157">SUM(W116)</f>
        <v>135.9</v>
      </c>
      <c r="X117" s="94">
        <f t="shared" si="157"/>
        <v>237.82</v>
      </c>
      <c r="Y117" s="94">
        <f t="shared" si="157"/>
        <v>0</v>
      </c>
      <c r="Z117" s="94">
        <f t="shared" si="157"/>
        <v>373.72</v>
      </c>
      <c r="AA117" s="94">
        <f t="shared" si="157"/>
        <v>3397.5</v>
      </c>
      <c r="AB117" s="94">
        <f t="shared" si="157"/>
        <v>3771.2200000000003</v>
      </c>
      <c r="AC117" s="94">
        <f t="shared" si="157"/>
        <v>0</v>
      </c>
      <c r="AD117" s="86">
        <f t="shared" si="157"/>
        <v>0</v>
      </c>
      <c r="AE117" s="86">
        <f t="shared" si="157"/>
        <v>0</v>
      </c>
      <c r="AF117" s="94">
        <f t="shared" si="157"/>
        <v>140.464912</v>
      </c>
      <c r="AG117" s="94">
        <f t="shared" si="157"/>
        <v>140.46</v>
      </c>
      <c r="AH117" s="94">
        <f t="shared" si="157"/>
        <v>0</v>
      </c>
      <c r="AI117" s="94">
        <f t="shared" si="157"/>
        <v>3630.76</v>
      </c>
      <c r="AJ117" s="50"/>
    </row>
    <row r="118" spans="1:39" s="40" customFormat="1">
      <c r="A118" s="100"/>
      <c r="B118" s="162"/>
      <c r="C118" s="147"/>
      <c r="D118" s="122"/>
      <c r="E118" s="43"/>
      <c r="F118" s="43"/>
      <c r="G118" s="44"/>
      <c r="H118" s="92"/>
      <c r="I118" s="92"/>
      <c r="J118" s="92"/>
      <c r="K118" s="92"/>
      <c r="L118" s="92"/>
      <c r="M118" s="92"/>
      <c r="N118" s="92"/>
      <c r="O118" s="92"/>
      <c r="P118" s="49"/>
      <c r="Q118" s="49"/>
      <c r="R118" s="49"/>
      <c r="S118" s="50"/>
      <c r="T118" s="51"/>
      <c r="U118" s="93"/>
      <c r="V118" s="83"/>
      <c r="W118" s="148"/>
      <c r="X118" s="83"/>
      <c r="Y118" s="139"/>
      <c r="Z118" s="83"/>
      <c r="AA118" s="83"/>
      <c r="AB118" s="83"/>
      <c r="AC118" s="83"/>
      <c r="AD118" s="83"/>
      <c r="AE118" s="83"/>
      <c r="AF118" s="87"/>
      <c r="AG118" s="83"/>
      <c r="AH118" s="149"/>
      <c r="AI118" s="149"/>
      <c r="AJ118" s="50"/>
    </row>
    <row r="119" spans="1:39" s="40" customFormat="1" ht="12.75">
      <c r="A119" s="100"/>
      <c r="B119" s="162"/>
      <c r="C119" s="147"/>
      <c r="D119" s="91" t="s">
        <v>341</v>
      </c>
      <c r="E119" s="43"/>
      <c r="F119" s="43"/>
      <c r="G119" s="44"/>
      <c r="H119" s="92"/>
      <c r="I119" s="92"/>
      <c r="J119" s="92"/>
      <c r="K119" s="92"/>
      <c r="L119" s="92"/>
      <c r="M119" s="92"/>
      <c r="N119" s="92"/>
      <c r="O119" s="92"/>
      <c r="P119" s="49"/>
      <c r="Q119" s="49"/>
      <c r="R119" s="49"/>
      <c r="S119" s="50"/>
      <c r="T119" s="51"/>
      <c r="U119" s="93"/>
      <c r="V119" s="83"/>
      <c r="W119" s="148"/>
      <c r="X119" s="83"/>
      <c r="Y119" s="139"/>
      <c r="Z119" s="83"/>
      <c r="AA119" s="83"/>
      <c r="AB119" s="83"/>
      <c r="AC119" s="83"/>
      <c r="AD119" s="83"/>
      <c r="AE119" s="83"/>
      <c r="AF119" s="87"/>
      <c r="AG119" s="83"/>
      <c r="AH119" s="149"/>
      <c r="AI119" s="149"/>
      <c r="AJ119" s="50"/>
    </row>
    <row r="120" spans="1:39" s="40" customFormat="1" ht="36" customHeight="1">
      <c r="A120" s="100">
        <f>A116+1</f>
        <v>62</v>
      </c>
      <c r="B120" s="68" t="s">
        <v>55</v>
      </c>
      <c r="C120" s="68" t="s">
        <v>64</v>
      </c>
      <c r="D120" s="61" t="s">
        <v>394</v>
      </c>
      <c r="E120" s="62" t="s">
        <v>293</v>
      </c>
      <c r="F120" s="62"/>
      <c r="G120" s="63"/>
      <c r="H120" s="98" t="s">
        <v>482</v>
      </c>
      <c r="I120" s="98"/>
      <c r="J120" s="98"/>
      <c r="K120" s="98"/>
      <c r="L120" s="98"/>
      <c r="M120" s="98"/>
      <c r="N120" s="98"/>
      <c r="O120" s="98"/>
      <c r="P120" s="69">
        <v>15</v>
      </c>
      <c r="Q120" s="69" t="s">
        <v>209</v>
      </c>
      <c r="R120" s="69"/>
      <c r="S120" s="70">
        <v>0</v>
      </c>
      <c r="T120" s="71">
        <v>0</v>
      </c>
      <c r="U120" s="76">
        <f>8121/30</f>
        <v>270.7</v>
      </c>
      <c r="V120" s="77">
        <f>TRUNC(U120*P120,2)</f>
        <v>4060.5</v>
      </c>
      <c r="W120" s="78">
        <f>TRUNC(U120*P120*0.04,2)</f>
        <v>162.41999999999999</v>
      </c>
      <c r="X120" s="77">
        <f>TRUNC(U120*0.07*P120,2)</f>
        <v>284.23</v>
      </c>
      <c r="Y120" s="79">
        <f>S120</f>
        <v>0</v>
      </c>
      <c r="Z120" s="77">
        <f>TRUNC(X120+W120+(IF(Y120&gt;519,519,Y120))+IF(R120=0,0,R120*U120),2)</f>
        <v>446.65</v>
      </c>
      <c r="AA120" s="77">
        <f>TRUNC((IF(R120=0,P120*U120,(P120-R120)*U120))+(IF(Y120&lt;519,0,Y120-519)),2)+T120</f>
        <v>4060.5</v>
      </c>
      <c r="AB120" s="77">
        <f>Z120+AA120</f>
        <v>4507.1499999999996</v>
      </c>
      <c r="AC120" s="77"/>
      <c r="AD120" s="77">
        <v>150</v>
      </c>
      <c r="AE120" s="77">
        <v>0</v>
      </c>
      <c r="AF120" s="80">
        <f>IF(U120&gt;0.01,(AA120-VLOOKUP(AA120,quincenal,1))*VLOOKUP(AA120,quincenal,3)+VLOOKUP(AA120,quincenal,2)-VLOOKUP(AA120,subquincenal,2),0)</f>
        <v>358.76839999999999</v>
      </c>
      <c r="AG120" s="77">
        <f>TRUNC(IF(AF120&gt;0.01,AF120,0),2)</f>
        <v>358.76</v>
      </c>
      <c r="AH120" s="81">
        <f>TRUNC(IF(AF120&lt;0.01,-AF120,0),2)</f>
        <v>0</v>
      </c>
      <c r="AI120" s="81">
        <f>AB120-AD120-AE120-AG120+AH120</f>
        <v>3998.3899999999994</v>
      </c>
      <c r="AJ120" s="70"/>
      <c r="AK120" s="40">
        <v>73</v>
      </c>
      <c r="AM120" s="87"/>
    </row>
    <row r="121" spans="1:39" s="40" customFormat="1" ht="36" customHeight="1">
      <c r="A121" s="100">
        <f>A120+1</f>
        <v>63</v>
      </c>
      <c r="B121" s="68"/>
      <c r="C121" s="68"/>
      <c r="D121" s="61" t="s">
        <v>433</v>
      </c>
      <c r="E121" s="62"/>
      <c r="F121" s="62"/>
      <c r="G121" s="63"/>
      <c r="H121" s="98" t="s">
        <v>483</v>
      </c>
      <c r="I121" s="98"/>
      <c r="J121" s="98"/>
      <c r="K121" s="98"/>
      <c r="L121" s="98"/>
      <c r="M121" s="98"/>
      <c r="N121" s="98"/>
      <c r="O121" s="98"/>
      <c r="P121" s="127">
        <v>15</v>
      </c>
      <c r="Q121" s="127" t="s">
        <v>209</v>
      </c>
      <c r="R121" s="127"/>
      <c r="S121" s="132">
        <v>0</v>
      </c>
      <c r="T121" s="133">
        <v>0</v>
      </c>
      <c r="U121" s="76">
        <f>4615/30</f>
        <v>153.83333333333334</v>
      </c>
      <c r="V121" s="79">
        <f>TRUNC(U121*P121,2)</f>
        <v>2307.5</v>
      </c>
      <c r="W121" s="135">
        <f>TRUNC(U121*P121*0.04,2)</f>
        <v>92.3</v>
      </c>
      <c r="X121" s="79">
        <f>TRUNC(U121*0.07*P121,2)</f>
        <v>161.52000000000001</v>
      </c>
      <c r="Y121" s="79">
        <f>S121</f>
        <v>0</v>
      </c>
      <c r="Z121" s="79">
        <f>TRUNC(X121+W121+(IF(Y121&gt;519,519,Y121))+IF(R121=0,0,R121*U121),2)</f>
        <v>253.82</v>
      </c>
      <c r="AA121" s="79">
        <f>TRUNC((IF(R121=0,P121*U121,(P121-R121)*U121))+(IF(Y121&lt;519,0,Y121-519)),2)+T121</f>
        <v>2307.5</v>
      </c>
      <c r="AB121" s="79">
        <f>Z121+AA121</f>
        <v>2561.3200000000002</v>
      </c>
      <c r="AC121" s="79"/>
      <c r="AD121" s="79">
        <v>150</v>
      </c>
      <c r="AE121" s="79"/>
      <c r="AF121" s="80">
        <f>IF(U121&gt;0.01,(AA121-VLOOKUP(AA121,quincenal,1))*VLOOKUP(AA121,quincenal,3)+VLOOKUP(AA121,quincenal,2)-VLOOKUP(AA121,subquincenal,2),0)</f>
        <v>-27.77708800000002</v>
      </c>
      <c r="AG121" s="79">
        <f t="shared" ref="AG121" si="158">TRUNC(IF(AF121&gt;0.01,AF121,0),2)</f>
        <v>0</v>
      </c>
      <c r="AH121" s="136">
        <f t="shared" ref="AH121" si="159">TRUNC(IF(AF121&lt;0.01,-AF121,0),2)</f>
        <v>27.77</v>
      </c>
      <c r="AI121" s="136">
        <f>AB121-AD121-AE121-AG121+AH121</f>
        <v>2439.09</v>
      </c>
      <c r="AJ121" s="70"/>
      <c r="AK121" s="40">
        <v>74</v>
      </c>
      <c r="AM121" s="87"/>
    </row>
    <row r="122" spans="1:39" s="40" customFormat="1" ht="12.75">
      <c r="A122" s="100"/>
      <c r="B122" s="147"/>
      <c r="C122" s="147"/>
      <c r="D122" s="91" t="s">
        <v>226</v>
      </c>
      <c r="E122" s="43"/>
      <c r="F122" s="43"/>
      <c r="G122" s="44"/>
      <c r="H122" s="92"/>
      <c r="I122" s="92"/>
      <c r="J122" s="92"/>
      <c r="K122" s="92"/>
      <c r="L122" s="92"/>
      <c r="M122" s="92"/>
      <c r="N122" s="92"/>
      <c r="O122" s="92"/>
      <c r="P122" s="49"/>
      <c r="Q122" s="49"/>
      <c r="R122" s="49"/>
      <c r="S122" s="50"/>
      <c r="T122" s="51"/>
      <c r="U122" s="93"/>
      <c r="V122" s="94">
        <f>SUM(V120:V121)</f>
        <v>6368</v>
      </c>
      <c r="W122" s="94">
        <f t="shared" ref="W122:AI122" si="160">SUM(W120:W121)</f>
        <v>254.71999999999997</v>
      </c>
      <c r="X122" s="94">
        <f t="shared" si="160"/>
        <v>445.75</v>
      </c>
      <c r="Y122" s="94">
        <f t="shared" si="160"/>
        <v>0</v>
      </c>
      <c r="Z122" s="94">
        <f t="shared" si="160"/>
        <v>700.47</v>
      </c>
      <c r="AA122" s="94">
        <f t="shared" si="160"/>
        <v>6368</v>
      </c>
      <c r="AB122" s="94">
        <f t="shared" si="160"/>
        <v>7068.4699999999993</v>
      </c>
      <c r="AC122" s="94">
        <f t="shared" si="160"/>
        <v>0</v>
      </c>
      <c r="AD122" s="94">
        <f t="shared" si="160"/>
        <v>300</v>
      </c>
      <c r="AE122" s="94">
        <f t="shared" si="160"/>
        <v>0</v>
      </c>
      <c r="AF122" s="94">
        <f t="shared" si="160"/>
        <v>330.99131199999999</v>
      </c>
      <c r="AG122" s="94">
        <f t="shared" si="160"/>
        <v>358.76</v>
      </c>
      <c r="AH122" s="94">
        <f t="shared" si="160"/>
        <v>27.77</v>
      </c>
      <c r="AI122" s="94">
        <f t="shared" si="160"/>
        <v>6437.48</v>
      </c>
      <c r="AJ122" s="50"/>
    </row>
    <row r="123" spans="1:39" s="40" customFormat="1">
      <c r="A123" s="100"/>
      <c r="B123" s="147"/>
      <c r="C123" s="147"/>
      <c r="D123" s="122"/>
      <c r="E123" s="43"/>
      <c r="F123" s="43"/>
      <c r="G123" s="44"/>
      <c r="H123" s="92"/>
      <c r="I123" s="92"/>
      <c r="J123" s="92"/>
      <c r="K123" s="92"/>
      <c r="L123" s="92"/>
      <c r="M123" s="92"/>
      <c r="N123" s="92"/>
      <c r="O123" s="92"/>
      <c r="P123" s="49"/>
      <c r="Q123" s="49"/>
      <c r="R123" s="49"/>
      <c r="S123" s="50"/>
      <c r="T123" s="51"/>
      <c r="U123" s="93"/>
      <c r="V123" s="83"/>
      <c r="W123" s="148"/>
      <c r="X123" s="83"/>
      <c r="Y123" s="139"/>
      <c r="Z123" s="83"/>
      <c r="AA123" s="83"/>
      <c r="AB123" s="83"/>
      <c r="AC123" s="83"/>
      <c r="AD123" s="83"/>
      <c r="AE123" s="83"/>
      <c r="AF123" s="87"/>
      <c r="AG123" s="83"/>
      <c r="AH123" s="149"/>
      <c r="AI123" s="149"/>
      <c r="AJ123" s="50"/>
    </row>
    <row r="124" spans="1:39" s="40" customFormat="1" ht="12.75">
      <c r="A124" s="100"/>
      <c r="B124" s="147"/>
      <c r="C124" s="147"/>
      <c r="D124" s="91" t="s">
        <v>227</v>
      </c>
      <c r="E124" s="43"/>
      <c r="F124" s="43"/>
      <c r="G124" s="44"/>
      <c r="H124" s="92"/>
      <c r="I124" s="92"/>
      <c r="J124" s="92"/>
      <c r="K124" s="92"/>
      <c r="L124" s="92"/>
      <c r="M124" s="92"/>
      <c r="N124" s="92"/>
      <c r="O124" s="92"/>
      <c r="P124" s="49"/>
      <c r="Q124" s="49"/>
      <c r="R124" s="49"/>
      <c r="S124" s="50"/>
      <c r="T124" s="51"/>
      <c r="U124" s="93"/>
      <c r="V124" s="83"/>
      <c r="W124" s="148"/>
      <c r="X124" s="83"/>
      <c r="Y124" s="139"/>
      <c r="Z124" s="83"/>
      <c r="AA124" s="83"/>
      <c r="AB124" s="83"/>
      <c r="AC124" s="83"/>
      <c r="AD124" s="83"/>
      <c r="AE124" s="83"/>
      <c r="AF124" s="87"/>
      <c r="AG124" s="83"/>
      <c r="AH124" s="149"/>
      <c r="AI124" s="149"/>
      <c r="AJ124" s="50"/>
    </row>
    <row r="125" spans="1:39" s="40" customFormat="1" ht="36.75" customHeight="1">
      <c r="A125" s="100">
        <f>A121+1</f>
        <v>64</v>
      </c>
      <c r="B125" s="147"/>
      <c r="C125" s="147"/>
      <c r="D125" s="61" t="s">
        <v>381</v>
      </c>
      <c r="E125" s="144"/>
      <c r="F125" s="62"/>
      <c r="G125" s="63"/>
      <c r="H125" s="102" t="s">
        <v>37</v>
      </c>
      <c r="I125" s="102"/>
      <c r="J125" s="102"/>
      <c r="K125" s="102"/>
      <c r="L125" s="102"/>
      <c r="M125" s="102"/>
      <c r="N125" s="102"/>
      <c r="O125" s="102"/>
      <c r="P125" s="69">
        <v>15</v>
      </c>
      <c r="Q125" s="69" t="s">
        <v>209</v>
      </c>
      <c r="R125" s="69"/>
      <c r="S125" s="70">
        <v>0</v>
      </c>
      <c r="T125" s="71">
        <v>0</v>
      </c>
      <c r="U125" s="76">
        <f>12653/30</f>
        <v>421.76666666666665</v>
      </c>
      <c r="V125" s="77">
        <f>TRUNC(U125*P125,2)</f>
        <v>6326.5</v>
      </c>
      <c r="W125" s="78">
        <f>TRUNC(U125*P125*0.04,2)</f>
        <v>253.06</v>
      </c>
      <c r="X125" s="77">
        <f>TRUNC(U125*0.07*P125,2)</f>
        <v>442.85</v>
      </c>
      <c r="Y125" s="79">
        <f>S125</f>
        <v>0</v>
      </c>
      <c r="Z125" s="77">
        <f>TRUNC(X125+W125+(IF(Y125&gt;519,519,Y125))+IF(R125=0,0,R125*U125),2)</f>
        <v>695.91</v>
      </c>
      <c r="AA125" s="77">
        <f>TRUNC((IF(R125=0,P125*U125,(P125-R125)*U125))+(IF(Y125&lt;519,0,Y125-519)),2)+T125</f>
        <v>6326.5</v>
      </c>
      <c r="AB125" s="77">
        <f>Z125+AA125</f>
        <v>7022.41</v>
      </c>
      <c r="AC125" s="77"/>
      <c r="AD125" s="77">
        <v>500</v>
      </c>
      <c r="AE125" s="77">
        <v>0</v>
      </c>
      <c r="AF125" s="80">
        <f>IF(U125&gt;0.01,(AA125-VLOOKUP(AA125,quincenal,1))*VLOOKUP(AA125,quincenal,3)+VLOOKUP(AA125,quincenal,2)-VLOOKUP(AA125,subquincenal,2),0)</f>
        <v>804.15122400000007</v>
      </c>
      <c r="AG125" s="77">
        <f>TRUNC(IF(AF125&gt;0.01,AF125,0),2)</f>
        <v>804.15</v>
      </c>
      <c r="AH125" s="81">
        <f>TRUNC(IF(AF125&lt;0.01,-AF125,0),2)</f>
        <v>0</v>
      </c>
      <c r="AI125" s="81">
        <f>AB125-AD125-AE125-AG125+AH125</f>
        <v>5718.26</v>
      </c>
      <c r="AJ125" s="70"/>
      <c r="AK125" s="40">
        <v>75</v>
      </c>
    </row>
    <row r="126" spans="1:39" s="40" customFormat="1" ht="36" customHeight="1">
      <c r="A126" s="100">
        <f>A125+1</f>
        <v>65</v>
      </c>
      <c r="B126" s="68" t="s">
        <v>55</v>
      </c>
      <c r="C126" s="68" t="s">
        <v>66</v>
      </c>
      <c r="D126" s="61" t="s">
        <v>399</v>
      </c>
      <c r="E126" s="140" t="s">
        <v>146</v>
      </c>
      <c r="F126" s="140" t="s">
        <v>168</v>
      </c>
      <c r="G126" s="141">
        <v>39083</v>
      </c>
      <c r="H126" s="98" t="s">
        <v>213</v>
      </c>
      <c r="I126" s="98"/>
      <c r="J126" s="98"/>
      <c r="K126" s="98"/>
      <c r="L126" s="98"/>
      <c r="M126" s="98"/>
      <c r="N126" s="98"/>
      <c r="O126" s="98"/>
      <c r="P126" s="69">
        <v>15</v>
      </c>
      <c r="Q126" s="69" t="s">
        <v>209</v>
      </c>
      <c r="R126" s="69"/>
      <c r="S126" s="70">
        <v>0</v>
      </c>
      <c r="T126" s="71">
        <v>0</v>
      </c>
      <c r="U126" s="76">
        <f>8551/30</f>
        <v>285.03333333333336</v>
      </c>
      <c r="V126" s="77">
        <f t="shared" ref="V126:V127" si="161">TRUNC(U126*P126,2)</f>
        <v>4275.5</v>
      </c>
      <c r="W126" s="78">
        <f t="shared" ref="W126:W127" si="162">TRUNC(U126*P126*0.04,2)</f>
        <v>171.02</v>
      </c>
      <c r="X126" s="77">
        <f t="shared" ref="X126:X127" si="163">TRUNC(U126*0.07*P126,2)</f>
        <v>299.27999999999997</v>
      </c>
      <c r="Y126" s="79">
        <f t="shared" ref="Y126:Y127" si="164">S126</f>
        <v>0</v>
      </c>
      <c r="Z126" s="77">
        <f t="shared" ref="Z126:Z127" si="165">TRUNC(X126+W126+(IF(Y126&gt;519,519,Y126))+IF(R126=0,0,R126*U126),2)</f>
        <v>470.3</v>
      </c>
      <c r="AA126" s="77">
        <f t="shared" ref="AA126:AA127" si="166">TRUNC((IF(R126=0,P126*U126,(P126-R126)*U126))+(IF(Y126&lt;519,0,Y126-519)),2)+T126</f>
        <v>4275.5</v>
      </c>
      <c r="AB126" s="77">
        <f t="shared" ref="AB126:AB127" si="167">Z126+AA126</f>
        <v>4745.8</v>
      </c>
      <c r="AC126" s="77"/>
      <c r="AD126" s="77"/>
      <c r="AE126" s="77">
        <v>0</v>
      </c>
      <c r="AF126" s="80">
        <f t="shared" ref="AF126" si="168">IF(U126&gt;0.01,(AA126-VLOOKUP(AA126,quincenal,1))*VLOOKUP(AA126,quincenal,3)+VLOOKUP(AA126,quincenal,2)-VLOOKUP(AA126,subquincenal,2),0)</f>
        <v>393.67508800000007</v>
      </c>
      <c r="AG126" s="77">
        <f>TRUNC(IF(AF126&gt;0.01,AF126,0),2)</f>
        <v>393.67</v>
      </c>
      <c r="AH126" s="81">
        <f>TRUNC(IF(AF126&lt;0.01,-AF126,0),2)</f>
        <v>0</v>
      </c>
      <c r="AI126" s="81">
        <f t="shared" ref="AI126:AI127" si="169">AB126-AD126-AE126-AG126+AH126</f>
        <v>4352.13</v>
      </c>
      <c r="AJ126" s="70"/>
      <c r="AK126" s="40">
        <v>76</v>
      </c>
      <c r="AM126" s="87"/>
    </row>
    <row r="127" spans="1:39" s="40" customFormat="1" ht="36" customHeight="1">
      <c r="A127" s="100">
        <f t="shared" ref="A127:A128" si="170">A126+1</f>
        <v>66</v>
      </c>
      <c r="B127" s="68"/>
      <c r="C127" s="68"/>
      <c r="D127" s="61" t="s">
        <v>382</v>
      </c>
      <c r="E127" s="144" t="s">
        <v>294</v>
      </c>
      <c r="F127" s="62"/>
      <c r="G127" s="63"/>
      <c r="H127" s="98" t="s">
        <v>417</v>
      </c>
      <c r="I127" s="98"/>
      <c r="J127" s="98"/>
      <c r="K127" s="98"/>
      <c r="L127" s="98"/>
      <c r="M127" s="98"/>
      <c r="N127" s="98"/>
      <c r="O127" s="98"/>
      <c r="P127" s="69">
        <v>15</v>
      </c>
      <c r="Q127" s="69" t="s">
        <v>209</v>
      </c>
      <c r="R127" s="69"/>
      <c r="S127" s="70">
        <v>0</v>
      </c>
      <c r="T127" s="71">
        <v>0</v>
      </c>
      <c r="U127" s="76">
        <f>4598/30</f>
        <v>153.26666666666668</v>
      </c>
      <c r="V127" s="77">
        <f t="shared" si="161"/>
        <v>2299</v>
      </c>
      <c r="W127" s="78">
        <f t="shared" si="162"/>
        <v>91.96</v>
      </c>
      <c r="X127" s="77">
        <f t="shared" si="163"/>
        <v>160.93</v>
      </c>
      <c r="Y127" s="79">
        <f t="shared" si="164"/>
        <v>0</v>
      </c>
      <c r="Z127" s="77">
        <f t="shared" si="165"/>
        <v>252.89</v>
      </c>
      <c r="AA127" s="77">
        <f t="shared" si="166"/>
        <v>2299</v>
      </c>
      <c r="AB127" s="77">
        <f t="shared" si="167"/>
        <v>2551.89</v>
      </c>
      <c r="AC127" s="77"/>
      <c r="AD127" s="77"/>
      <c r="AE127" s="77"/>
      <c r="AF127" s="80">
        <f t="shared" ref="AF127" si="171">IF(U127&gt;0.01,(AA127-VLOOKUP(AA127,quincenal,1))*VLOOKUP(AA127,quincenal,3)+VLOOKUP(AA127,quincenal,2)-VLOOKUP(AA127,subquincenal,2),0)</f>
        <v>-28.701888000000025</v>
      </c>
      <c r="AG127" s="77">
        <f t="shared" ref="AG127" si="172">TRUNC(IF(AF127&gt;0.01,AF127,0),2)</f>
        <v>0</v>
      </c>
      <c r="AH127" s="81">
        <f t="shared" ref="AH127" si="173">TRUNC(IF(AF127&lt;0.01,-AF127,0),2)</f>
        <v>28.7</v>
      </c>
      <c r="AI127" s="81">
        <f t="shared" si="169"/>
        <v>2580.5899999999997</v>
      </c>
      <c r="AJ127" s="70"/>
      <c r="AK127" s="40">
        <v>77</v>
      </c>
      <c r="AM127" s="87"/>
    </row>
    <row r="128" spans="1:39" s="40" customFormat="1" ht="36" customHeight="1">
      <c r="A128" s="100">
        <f t="shared" si="170"/>
        <v>67</v>
      </c>
      <c r="B128" s="68"/>
      <c r="C128" s="68"/>
      <c r="D128" s="61" t="s">
        <v>507</v>
      </c>
      <c r="E128" s="144"/>
      <c r="F128" s="62"/>
      <c r="G128" s="63"/>
      <c r="H128" s="98" t="s">
        <v>417</v>
      </c>
      <c r="I128" s="98"/>
      <c r="J128" s="98"/>
      <c r="K128" s="98"/>
      <c r="L128" s="98"/>
      <c r="M128" s="98"/>
      <c r="N128" s="98"/>
      <c r="O128" s="98"/>
      <c r="P128" s="69">
        <v>15</v>
      </c>
      <c r="Q128" s="69" t="s">
        <v>209</v>
      </c>
      <c r="R128" s="69"/>
      <c r="S128" s="70">
        <v>0</v>
      </c>
      <c r="T128" s="71">
        <v>0</v>
      </c>
      <c r="U128" s="76">
        <f>4598/30</f>
        <v>153.26666666666668</v>
      </c>
      <c r="V128" s="77">
        <f>TRUNC(U128*P128,2)</f>
        <v>2299</v>
      </c>
      <c r="W128" s="78">
        <f>TRUNC(U128*P128*0.04,2)</f>
        <v>91.96</v>
      </c>
      <c r="X128" s="77">
        <f>TRUNC(U128*0.07*P128,2)</f>
        <v>160.93</v>
      </c>
      <c r="Y128" s="79">
        <f>S128</f>
        <v>0</v>
      </c>
      <c r="Z128" s="77">
        <f>TRUNC(X128+W128+(IF(Y128&gt;519,519,Y128))+IF(R128=0,0,R128*U128),2)</f>
        <v>252.89</v>
      </c>
      <c r="AA128" s="77">
        <f>TRUNC((IF(R128=0,P128*U128,(P128-R128)*U128))+(IF(Y128&lt;519,0,Y128-519)),2)+T128</f>
        <v>2299</v>
      </c>
      <c r="AB128" s="77">
        <f>Z128+AA128</f>
        <v>2551.89</v>
      </c>
      <c r="AC128" s="77"/>
      <c r="AD128" s="77"/>
      <c r="AE128" s="77">
        <v>0</v>
      </c>
      <c r="AF128" s="80">
        <f>IF(U128&gt;0.01,(AA128-VLOOKUP(AA128,quincenal,1))*VLOOKUP(AA128,quincenal,3)+VLOOKUP(AA128,quincenal,2)-VLOOKUP(AA128,subquincenal,2),0)</f>
        <v>-28.701888000000025</v>
      </c>
      <c r="AG128" s="77">
        <f t="shared" ref="AG128" si="174">TRUNC(IF(AF128&gt;0.01,AF128,0),2)</f>
        <v>0</v>
      </c>
      <c r="AH128" s="81">
        <f t="shared" ref="AH128" si="175">TRUNC(IF(AF128&lt;0.01,-AF128,0),2)</f>
        <v>28.7</v>
      </c>
      <c r="AI128" s="81">
        <f>AB128-AD128-AE128-AG128+AH128</f>
        <v>2580.5899999999997</v>
      </c>
      <c r="AJ128" s="70"/>
      <c r="AK128" s="40">
        <v>78</v>
      </c>
      <c r="AM128" s="87"/>
    </row>
    <row r="129" spans="1:39" s="40" customFormat="1" ht="12.75">
      <c r="A129" s="100"/>
      <c r="B129" s="147"/>
      <c r="C129" s="147"/>
      <c r="D129" s="91" t="s">
        <v>227</v>
      </c>
      <c r="E129" s="43"/>
      <c r="F129" s="43"/>
      <c r="G129" s="44"/>
      <c r="H129" s="92"/>
      <c r="I129" s="92"/>
      <c r="J129" s="92"/>
      <c r="K129" s="92"/>
      <c r="L129" s="92"/>
      <c r="M129" s="92"/>
      <c r="N129" s="92"/>
      <c r="O129" s="92"/>
      <c r="P129" s="49"/>
      <c r="Q129" s="49"/>
      <c r="R129" s="49"/>
      <c r="S129" s="50"/>
      <c r="T129" s="51"/>
      <c r="U129" s="93"/>
      <c r="V129" s="94">
        <f>SUM(V125:V128)</f>
        <v>15200</v>
      </c>
      <c r="W129" s="94">
        <f t="shared" ref="W129:AI129" si="176">SUM(W125:W128)</f>
        <v>608.00000000000011</v>
      </c>
      <c r="X129" s="94">
        <f t="shared" si="176"/>
        <v>1063.99</v>
      </c>
      <c r="Y129" s="94">
        <f t="shared" si="176"/>
        <v>0</v>
      </c>
      <c r="Z129" s="94">
        <f t="shared" si="176"/>
        <v>1671.9899999999998</v>
      </c>
      <c r="AA129" s="94">
        <f t="shared" si="176"/>
        <v>15200</v>
      </c>
      <c r="AB129" s="94">
        <f t="shared" si="176"/>
        <v>16871.989999999998</v>
      </c>
      <c r="AC129" s="94">
        <f t="shared" si="176"/>
        <v>0</v>
      </c>
      <c r="AD129" s="94">
        <f t="shared" si="176"/>
        <v>500</v>
      </c>
      <c r="AE129" s="94">
        <f t="shared" si="176"/>
        <v>0</v>
      </c>
      <c r="AF129" s="94">
        <f t="shared" si="176"/>
        <v>1140.422536</v>
      </c>
      <c r="AG129" s="94">
        <f t="shared" si="176"/>
        <v>1197.82</v>
      </c>
      <c r="AH129" s="94">
        <f t="shared" si="176"/>
        <v>57.4</v>
      </c>
      <c r="AI129" s="94">
        <f t="shared" si="176"/>
        <v>15231.57</v>
      </c>
      <c r="AJ129" s="50"/>
    </row>
    <row r="130" spans="1:39" s="40" customFormat="1">
      <c r="A130" s="100"/>
      <c r="B130" s="147"/>
      <c r="C130" s="147"/>
      <c r="D130" s="122"/>
      <c r="E130" s="43"/>
      <c r="F130" s="43"/>
      <c r="G130" s="44"/>
      <c r="H130" s="92"/>
      <c r="I130" s="92"/>
      <c r="J130" s="92"/>
      <c r="K130" s="92"/>
      <c r="L130" s="92"/>
      <c r="M130" s="92"/>
      <c r="N130" s="92"/>
      <c r="O130" s="92"/>
      <c r="P130" s="49"/>
      <c r="Q130" s="49"/>
      <c r="R130" s="49"/>
      <c r="S130" s="50"/>
      <c r="T130" s="51"/>
      <c r="U130" s="93"/>
      <c r="V130" s="83"/>
      <c r="W130" s="148"/>
      <c r="X130" s="83"/>
      <c r="Y130" s="139"/>
      <c r="Z130" s="83"/>
      <c r="AA130" s="83"/>
      <c r="AB130" s="83"/>
      <c r="AC130" s="83"/>
      <c r="AD130" s="83"/>
      <c r="AE130" s="83"/>
      <c r="AF130" s="87"/>
      <c r="AG130" s="83"/>
      <c r="AH130" s="149"/>
      <c r="AI130" s="149"/>
      <c r="AJ130" s="50"/>
    </row>
    <row r="131" spans="1:39" s="40" customFormat="1" ht="24" customHeight="1">
      <c r="A131" s="100"/>
      <c r="B131" s="147"/>
      <c r="C131" s="147"/>
      <c r="D131" s="91" t="s">
        <v>228</v>
      </c>
      <c r="E131" s="43"/>
      <c r="F131" s="43"/>
      <c r="G131" s="44"/>
      <c r="H131" s="92"/>
      <c r="I131" s="92"/>
      <c r="J131" s="92"/>
      <c r="K131" s="92"/>
      <c r="L131" s="92"/>
      <c r="M131" s="92"/>
      <c r="N131" s="92"/>
      <c r="O131" s="92"/>
      <c r="P131" s="49"/>
      <c r="Q131" s="49"/>
      <c r="R131" s="49"/>
      <c r="S131" s="50"/>
      <c r="T131" s="51"/>
      <c r="U131" s="93"/>
      <c r="V131" s="83"/>
      <c r="W131" s="148"/>
      <c r="X131" s="83"/>
      <c r="Y131" s="139"/>
      <c r="Z131" s="83"/>
      <c r="AA131" s="83"/>
      <c r="AB131" s="83"/>
      <c r="AC131" s="83"/>
      <c r="AD131" s="83"/>
      <c r="AE131" s="83"/>
      <c r="AF131" s="87"/>
      <c r="AG131" s="83"/>
      <c r="AH131" s="149"/>
      <c r="AI131" s="149"/>
      <c r="AJ131" s="50"/>
    </row>
    <row r="132" spans="1:39" s="40" customFormat="1" ht="36" customHeight="1">
      <c r="A132" s="100">
        <f>A128+1</f>
        <v>68</v>
      </c>
      <c r="B132" s="68"/>
      <c r="C132" s="68"/>
      <c r="D132" s="61" t="s">
        <v>390</v>
      </c>
      <c r="E132" s="140" t="s">
        <v>155</v>
      </c>
      <c r="F132" s="140" t="s">
        <v>179</v>
      </c>
      <c r="G132" s="141">
        <v>39569</v>
      </c>
      <c r="H132" s="98" t="s">
        <v>391</v>
      </c>
      <c r="I132" s="98"/>
      <c r="J132" s="98"/>
      <c r="K132" s="98"/>
      <c r="L132" s="98"/>
      <c r="M132" s="98"/>
      <c r="N132" s="98"/>
      <c r="O132" s="98"/>
      <c r="P132" s="69">
        <v>15</v>
      </c>
      <c r="Q132" s="69" t="s">
        <v>209</v>
      </c>
      <c r="R132" s="69"/>
      <c r="S132" s="70">
        <v>0</v>
      </c>
      <c r="T132" s="71">
        <v>0</v>
      </c>
      <c r="U132" s="153">
        <f>15321/30</f>
        <v>510.7</v>
      </c>
      <c r="V132" s="77">
        <f t="shared" ref="V132" si="177">TRUNC(U132*P132,2)</f>
        <v>7660.5</v>
      </c>
      <c r="W132" s="78">
        <f t="shared" ref="W132" si="178">TRUNC(U132*P132*0.04,2)</f>
        <v>306.42</v>
      </c>
      <c r="X132" s="77">
        <f t="shared" ref="X132" si="179">TRUNC(U132*0.07*P132,2)</f>
        <v>536.23</v>
      </c>
      <c r="Y132" s="154">
        <f t="shared" ref="Y132" si="180">S132</f>
        <v>0</v>
      </c>
      <c r="Z132" s="77">
        <f t="shared" ref="Z132" si="181">TRUNC(X132+W132+(IF(Y132&gt;519,519,Y132))+IF(R132=0,0,R132*U132),2)</f>
        <v>842.65</v>
      </c>
      <c r="AA132" s="77">
        <f t="shared" ref="AA132" si="182">TRUNC((IF(R132=0,P132*U132,(P132-R132)*U132))+(IF(Y132&lt;519,0,Y132-519)),2)+T132</f>
        <v>7660.5</v>
      </c>
      <c r="AB132" s="77">
        <f t="shared" ref="AB132" si="183">Z132+AA132</f>
        <v>8503.15</v>
      </c>
      <c r="AC132" s="77"/>
      <c r="AD132" s="77">
        <v>500</v>
      </c>
      <c r="AE132" s="77">
        <v>0</v>
      </c>
      <c r="AF132" s="80">
        <f t="shared" ref="AF132" si="184">IF(U132&gt;0.01,(AA132-VLOOKUP(AA132,quincenal,1))*VLOOKUP(AA132,quincenal,3)+VLOOKUP(AA132,quincenal,2)-VLOOKUP(AA132,subquincenal,2),0)</f>
        <v>1089.0936240000001</v>
      </c>
      <c r="AG132" s="77">
        <f t="shared" ref="AG132" si="185">TRUNC(IF(AF132&gt;0.01,AF132,0),2)</f>
        <v>1089.0899999999999</v>
      </c>
      <c r="AH132" s="81">
        <f t="shared" ref="AH132" si="186">TRUNC(IF(AF132&lt;0.01,-AF132,0),2)</f>
        <v>0</v>
      </c>
      <c r="AI132" s="81">
        <f t="shared" ref="AI132" si="187">AB132-AD132-AE132-AG132+AH132</f>
        <v>6914.0599999999995</v>
      </c>
      <c r="AJ132" s="70"/>
      <c r="AK132" s="40">
        <v>79</v>
      </c>
      <c r="AM132" s="87"/>
    </row>
    <row r="133" spans="1:39" s="40" customFormat="1" ht="36" customHeight="1">
      <c r="A133" s="100">
        <f>A132+1</f>
        <v>69</v>
      </c>
      <c r="B133" s="68"/>
      <c r="C133" s="68"/>
      <c r="D133" s="61" t="s">
        <v>422</v>
      </c>
      <c r="E133" s="144" t="s">
        <v>342</v>
      </c>
      <c r="F133" s="62"/>
      <c r="G133" s="63"/>
      <c r="H133" s="98" t="s">
        <v>343</v>
      </c>
      <c r="I133" s="98"/>
      <c r="J133" s="98"/>
      <c r="K133" s="98"/>
      <c r="L133" s="98"/>
      <c r="M133" s="98"/>
      <c r="N133" s="98"/>
      <c r="O133" s="98"/>
      <c r="P133" s="69">
        <v>15</v>
      </c>
      <c r="Q133" s="69" t="s">
        <v>209</v>
      </c>
      <c r="R133" s="69"/>
      <c r="S133" s="70">
        <v>0</v>
      </c>
      <c r="T133" s="71">
        <v>0</v>
      </c>
      <c r="U133" s="76">
        <f>9223/30</f>
        <v>307.43333333333334</v>
      </c>
      <c r="V133" s="77">
        <f t="shared" ref="V133" si="188">TRUNC(U133*P133,2)</f>
        <v>4611.5</v>
      </c>
      <c r="W133" s="78">
        <f t="shared" ref="W133" si="189">TRUNC(U133*P133*0.04,2)</f>
        <v>184.46</v>
      </c>
      <c r="X133" s="77">
        <f t="shared" ref="X133" si="190">TRUNC(U133*0.07*P133,2)</f>
        <v>322.8</v>
      </c>
      <c r="Y133" s="79">
        <f t="shared" ref="Y133" si="191">S133</f>
        <v>0</v>
      </c>
      <c r="Z133" s="77">
        <f t="shared" ref="Z133" si="192">TRUNC(X133+W133+(IF(Y133&gt;519,519,Y133))+IF(R133=0,0,R133*U133),2)</f>
        <v>507.26</v>
      </c>
      <c r="AA133" s="77">
        <f t="shared" ref="AA133" si="193">TRUNC((IF(R133=0,P133*U133,(P133-R133)*U133))+(IF(Y133&lt;519,0,Y133-519)),2)+T133</f>
        <v>4611.5</v>
      </c>
      <c r="AB133" s="77">
        <f t="shared" ref="AB133" si="194">Z133+AA133</f>
        <v>5118.76</v>
      </c>
      <c r="AC133" s="77"/>
      <c r="AD133" s="77">
        <v>0</v>
      </c>
      <c r="AE133" s="77">
        <v>0</v>
      </c>
      <c r="AF133" s="80">
        <f t="shared" ref="AF133" si="195">IF(U133&gt;0.01,(AA133-VLOOKUP(AA133,quincenal,1))*VLOOKUP(AA133,quincenal,3)+VLOOKUP(AA133,quincenal,2)-VLOOKUP(AA133,subquincenal,2),0)</f>
        <v>453.88628800000004</v>
      </c>
      <c r="AG133" s="77">
        <f t="shared" ref="AG133" si="196">TRUNC(IF(AF133&gt;0.01,AF133,0),2)</f>
        <v>453.88</v>
      </c>
      <c r="AH133" s="81">
        <f t="shared" ref="AH133" si="197">TRUNC(IF(AF133&lt;0.01,-AF133,0),2)</f>
        <v>0</v>
      </c>
      <c r="AI133" s="81">
        <f t="shared" ref="AI133" si="198">AB133-AD133-AE133-AG133+AH133</f>
        <v>4664.88</v>
      </c>
      <c r="AJ133" s="70"/>
      <c r="AK133" s="40">
        <v>80</v>
      </c>
      <c r="AM133" s="87"/>
    </row>
    <row r="134" spans="1:39" s="40" customFormat="1" ht="36" customHeight="1">
      <c r="A134" s="100">
        <f t="shared" ref="A134:A136" si="199">A133+1</f>
        <v>70</v>
      </c>
      <c r="B134" s="68"/>
      <c r="C134" s="68"/>
      <c r="D134" s="61" t="s">
        <v>71</v>
      </c>
      <c r="E134" s="144"/>
      <c r="F134" s="62"/>
      <c r="G134" s="63"/>
      <c r="H134" s="98" t="s">
        <v>443</v>
      </c>
      <c r="I134" s="98"/>
      <c r="J134" s="98"/>
      <c r="K134" s="98"/>
      <c r="L134" s="98"/>
      <c r="M134" s="98"/>
      <c r="N134" s="98"/>
      <c r="O134" s="98"/>
      <c r="P134" s="69">
        <v>15</v>
      </c>
      <c r="Q134" s="69"/>
      <c r="R134" s="69"/>
      <c r="S134" s="70"/>
      <c r="T134" s="71"/>
      <c r="U134" s="76">
        <f>7130/30</f>
        <v>237.66666666666666</v>
      </c>
      <c r="V134" s="77">
        <f t="shared" ref="V134" si="200">TRUNC(U134*P134,2)</f>
        <v>3565</v>
      </c>
      <c r="W134" s="78">
        <f t="shared" ref="W134" si="201">TRUNC(U134*P134*0.04,2)</f>
        <v>142.6</v>
      </c>
      <c r="X134" s="77">
        <f t="shared" ref="X134" si="202">TRUNC(U134*0.07*P134,2)</f>
        <v>249.55</v>
      </c>
      <c r="Y134" s="79">
        <f t="shared" ref="Y134" si="203">S134</f>
        <v>0</v>
      </c>
      <c r="Z134" s="77">
        <f t="shared" ref="Z134" si="204">TRUNC(X134+W134+(IF(Y134&gt;519,519,Y134))+IF(R134=0,0,R134*U134),2)</f>
        <v>392.15</v>
      </c>
      <c r="AA134" s="77">
        <f t="shared" ref="AA134" si="205">TRUNC((IF(R134=0,P134*U134,(P134-R134)*U134))+(IF(Y134&lt;519,0,Y134-519)),2)+T134</f>
        <v>3565</v>
      </c>
      <c r="AB134" s="77">
        <f t="shared" ref="AB134" si="206">Z134+AA134</f>
        <v>3957.15</v>
      </c>
      <c r="AC134" s="77"/>
      <c r="AD134" s="77">
        <v>500</v>
      </c>
      <c r="AE134" s="77">
        <v>0</v>
      </c>
      <c r="AF134" s="80">
        <f t="shared" ref="AF134" si="207">IF(U134&gt;0.01,(AA134-VLOOKUP(AA134,quincenal,1))*VLOOKUP(AA134,quincenal,3)+VLOOKUP(AA134,quincenal,2)-VLOOKUP(AA134,subquincenal,2),0)</f>
        <v>176.38891199999998</v>
      </c>
      <c r="AG134" s="77">
        <f t="shared" ref="AG134" si="208">TRUNC(IF(AF134&gt;0.01,AF134,0),2)</f>
        <v>176.38</v>
      </c>
      <c r="AH134" s="81">
        <f t="shared" ref="AH134" si="209">TRUNC(IF(AF134&lt;0.01,-AF134,0),2)</f>
        <v>0</v>
      </c>
      <c r="AI134" s="81">
        <f t="shared" ref="AI134" si="210">AB134-AD134-AE134-AG134+AH134</f>
        <v>3280.77</v>
      </c>
      <c r="AJ134" s="70"/>
      <c r="AK134" s="40">
        <v>81</v>
      </c>
      <c r="AM134" s="87"/>
    </row>
    <row r="135" spans="1:39" s="40" customFormat="1" ht="36" customHeight="1">
      <c r="A135" s="100">
        <f t="shared" si="199"/>
        <v>71</v>
      </c>
      <c r="B135" s="155"/>
      <c r="C135" s="155"/>
      <c r="D135" s="61" t="s">
        <v>451</v>
      </c>
      <c r="E135" s="62"/>
      <c r="F135" s="62"/>
      <c r="G135" s="63"/>
      <c r="H135" s="102" t="s">
        <v>73</v>
      </c>
      <c r="I135" s="102"/>
      <c r="J135" s="102"/>
      <c r="K135" s="102"/>
      <c r="L135" s="102"/>
      <c r="M135" s="102"/>
      <c r="N135" s="102"/>
      <c r="O135" s="102"/>
      <c r="P135" s="69">
        <v>15</v>
      </c>
      <c r="Q135" s="69" t="s">
        <v>209</v>
      </c>
      <c r="R135" s="69"/>
      <c r="S135" s="70">
        <v>0</v>
      </c>
      <c r="T135" s="71">
        <v>0</v>
      </c>
      <c r="U135" s="76">
        <f>5714/30</f>
        <v>190.46666666666667</v>
      </c>
      <c r="V135" s="77">
        <f>TRUNC(U135*P135,2)</f>
        <v>2857</v>
      </c>
      <c r="W135" s="78">
        <f>TRUNC(U135*P135*0.04,2)</f>
        <v>114.28</v>
      </c>
      <c r="X135" s="77">
        <f>TRUNC(U135*0.07*P135,2)</f>
        <v>199.99</v>
      </c>
      <c r="Y135" s="79">
        <f>S135</f>
        <v>0</v>
      </c>
      <c r="Z135" s="77">
        <f>TRUNC(X135+W135+(IF(Y135&gt;519,519,Y135))+IF(R135=0,0,R135*U135),2)</f>
        <v>314.27</v>
      </c>
      <c r="AA135" s="77">
        <f>TRUNC((IF(R135=0,P135*U135,(P135-R135)*U135))+(IF(Y135&lt;519,0,Y135-519)),2)+T135</f>
        <v>2857</v>
      </c>
      <c r="AB135" s="77">
        <f>Z135+AA135</f>
        <v>3171.27</v>
      </c>
      <c r="AC135" s="77"/>
      <c r="AD135" s="77"/>
      <c r="AE135" s="77">
        <v>0</v>
      </c>
      <c r="AF135" s="80">
        <f>IF(U135&gt;0.01,(AA135-VLOOKUP(AA135,quincenal,1))*VLOOKUP(AA135,quincenal,3)+VLOOKUP(AA135,quincenal,2)-VLOOKUP(AA135,subquincenal,2),0)</f>
        <v>61.408511999999973</v>
      </c>
      <c r="AG135" s="77">
        <f>TRUNC(IF(AF135&gt;0.01,AF135,0),2)</f>
        <v>61.4</v>
      </c>
      <c r="AH135" s="81">
        <f>TRUNC(IF(AF135&lt;0.01,-AF135,0),2)</f>
        <v>0</v>
      </c>
      <c r="AI135" s="81">
        <f>AB135-AD135-AE135-AG135+AH135</f>
        <v>3109.87</v>
      </c>
      <c r="AJ135" s="132"/>
      <c r="AK135" s="40">
        <v>94</v>
      </c>
      <c r="AM135" s="87"/>
    </row>
    <row r="136" spans="1:39" s="40" customFormat="1" ht="36" customHeight="1">
      <c r="A136" s="100">
        <f t="shared" si="199"/>
        <v>72</v>
      </c>
      <c r="B136" s="155"/>
      <c r="C136" s="155"/>
      <c r="D136" s="61" t="s">
        <v>262</v>
      </c>
      <c r="E136" s="140" t="s">
        <v>295</v>
      </c>
      <c r="F136" s="140" t="s">
        <v>296</v>
      </c>
      <c r="G136" s="63"/>
      <c r="H136" s="102" t="s">
        <v>344</v>
      </c>
      <c r="I136" s="102"/>
      <c r="J136" s="102"/>
      <c r="K136" s="102"/>
      <c r="L136" s="102"/>
      <c r="M136" s="102"/>
      <c r="N136" s="102"/>
      <c r="O136" s="102"/>
      <c r="P136" s="127">
        <v>15</v>
      </c>
      <c r="Q136" s="127" t="s">
        <v>18</v>
      </c>
      <c r="R136" s="127"/>
      <c r="S136" s="132">
        <v>0</v>
      </c>
      <c r="T136" s="133">
        <v>0</v>
      </c>
      <c r="U136" s="76">
        <f>9416/30</f>
        <v>313.86666666666667</v>
      </c>
      <c r="V136" s="79">
        <f t="shared" ref="V136" si="211">TRUNC(U136*P136,2)</f>
        <v>4708</v>
      </c>
      <c r="W136" s="135">
        <f t="shared" ref="W136" si="212">TRUNC(U136*P136*0.04,2)</f>
        <v>188.32</v>
      </c>
      <c r="X136" s="79">
        <f t="shared" ref="X136" si="213">TRUNC(U136*0.07*P136,2)</f>
        <v>329.56</v>
      </c>
      <c r="Y136" s="79">
        <f>S136</f>
        <v>0</v>
      </c>
      <c r="Z136" s="79">
        <f t="shared" ref="Z136" si="214">TRUNC(X136+W136+(IF(Y136&gt;519,519,Y136))+IF(R136=0,0,R136*U136),2)</f>
        <v>517.88</v>
      </c>
      <c r="AA136" s="79">
        <f t="shared" ref="AA136" si="215">TRUNC((IF(R136=0,P136*U136,(P136-R136)*U136))+(IF(Y136&lt;519,0,Y136-519)),2)+T136</f>
        <v>4708</v>
      </c>
      <c r="AB136" s="79">
        <f>Z136+AA136</f>
        <v>5225.88</v>
      </c>
      <c r="AC136" s="79"/>
      <c r="AD136" s="79">
        <v>0</v>
      </c>
      <c r="AE136" s="79"/>
      <c r="AF136" s="80">
        <f>IF(U136&gt;0.01,(AA136-VLOOKUP(AA136,quincenal,1))*VLOOKUP(AA136,quincenal,3)+VLOOKUP(AA136,quincenal,2)-VLOOKUP(AA136,subquincenal,2),0)</f>
        <v>471.17908800000009</v>
      </c>
      <c r="AG136" s="79">
        <f t="shared" ref="AG136" si="216">TRUNC(IF(AF136&gt;0.01,AF136,0),2)</f>
        <v>471.17</v>
      </c>
      <c r="AH136" s="136">
        <f t="shared" ref="AH136" si="217">TRUNC(IF(AF136&lt;0.01,-AF136,0),2)</f>
        <v>0</v>
      </c>
      <c r="AI136" s="136">
        <f>AB136-AD136-AE136-AG136+AH136</f>
        <v>4754.71</v>
      </c>
      <c r="AJ136" s="132"/>
      <c r="AK136" s="40">
        <v>96</v>
      </c>
      <c r="AM136" s="87"/>
    </row>
    <row r="137" spans="1:39" s="40" customFormat="1" ht="15" customHeight="1">
      <c r="A137" s="100"/>
      <c r="B137" s="147"/>
      <c r="C137" s="147"/>
      <c r="D137" s="91" t="s">
        <v>228</v>
      </c>
      <c r="E137" s="43"/>
      <c r="F137" s="43"/>
      <c r="G137" s="44"/>
      <c r="H137" s="92"/>
      <c r="I137" s="92"/>
      <c r="J137" s="92"/>
      <c r="K137" s="92"/>
      <c r="L137" s="92"/>
      <c r="M137" s="92"/>
      <c r="N137" s="92"/>
      <c r="O137" s="92"/>
      <c r="P137" s="49"/>
      <c r="Q137" s="49"/>
      <c r="R137" s="49"/>
      <c r="S137" s="50"/>
      <c r="T137" s="51"/>
      <c r="U137" s="213"/>
      <c r="V137" s="213">
        <f>SUM(V132:V136)</f>
        <v>23402</v>
      </c>
      <c r="W137" s="213">
        <f t="shared" ref="W137:AI137" si="218">SUM(W132:W136)</f>
        <v>936.07999999999993</v>
      </c>
      <c r="X137" s="213">
        <f t="shared" si="218"/>
        <v>1638.1299999999999</v>
      </c>
      <c r="Y137" s="213">
        <f t="shared" si="218"/>
        <v>0</v>
      </c>
      <c r="Z137" s="213">
        <f t="shared" si="218"/>
        <v>2574.21</v>
      </c>
      <c r="AA137" s="213">
        <f t="shared" si="218"/>
        <v>23402</v>
      </c>
      <c r="AB137" s="213">
        <f t="shared" si="218"/>
        <v>25976.210000000003</v>
      </c>
      <c r="AC137" s="213">
        <f t="shared" si="218"/>
        <v>0</v>
      </c>
      <c r="AD137" s="213">
        <f t="shared" si="218"/>
        <v>1000</v>
      </c>
      <c r="AE137" s="213">
        <f t="shared" si="218"/>
        <v>0</v>
      </c>
      <c r="AF137" s="213">
        <f t="shared" si="218"/>
        <v>2251.956424</v>
      </c>
      <c r="AG137" s="213">
        <f t="shared" si="218"/>
        <v>2251.92</v>
      </c>
      <c r="AH137" s="213">
        <f t="shared" si="218"/>
        <v>0</v>
      </c>
      <c r="AI137" s="213">
        <f t="shared" si="218"/>
        <v>22724.289999999997</v>
      </c>
      <c r="AJ137" s="50"/>
    </row>
    <row r="138" spans="1:39" s="40" customFormat="1" ht="24" customHeight="1">
      <c r="A138" s="100"/>
      <c r="B138" s="147"/>
      <c r="C138" s="147"/>
      <c r="D138" s="91" t="s">
        <v>253</v>
      </c>
      <c r="E138" s="43"/>
      <c r="F138" s="43"/>
      <c r="G138" s="44"/>
      <c r="H138" s="92"/>
      <c r="I138" s="92"/>
      <c r="J138" s="92"/>
      <c r="K138" s="92"/>
      <c r="L138" s="92"/>
      <c r="M138" s="92"/>
      <c r="N138" s="92"/>
      <c r="O138" s="92"/>
      <c r="P138" s="49"/>
      <c r="Q138" s="49"/>
      <c r="R138" s="49"/>
      <c r="S138" s="50"/>
      <c r="T138" s="51"/>
      <c r="U138" s="93"/>
      <c r="V138" s="83"/>
      <c r="W138" s="148"/>
      <c r="X138" s="83"/>
      <c r="Y138" s="139"/>
      <c r="Z138" s="83"/>
      <c r="AA138" s="83"/>
      <c r="AB138" s="83"/>
      <c r="AC138" s="83"/>
      <c r="AD138" s="83"/>
      <c r="AE138" s="83"/>
      <c r="AF138" s="87"/>
      <c r="AG138" s="83"/>
      <c r="AH138" s="149"/>
      <c r="AI138" s="149"/>
      <c r="AJ138" s="50"/>
    </row>
    <row r="139" spans="1:39" s="40" customFormat="1" ht="36" customHeight="1">
      <c r="A139" s="100">
        <f>A136+1</f>
        <v>73</v>
      </c>
      <c r="B139" s="68" t="s">
        <v>68</v>
      </c>
      <c r="C139" s="68" t="s">
        <v>16</v>
      </c>
      <c r="D139" s="61" t="s">
        <v>427</v>
      </c>
      <c r="E139" s="62"/>
      <c r="F139" s="62"/>
      <c r="G139" s="63"/>
      <c r="H139" s="98" t="s">
        <v>69</v>
      </c>
      <c r="I139" s="98"/>
      <c r="J139" s="98"/>
      <c r="K139" s="98"/>
      <c r="L139" s="98"/>
      <c r="M139" s="98"/>
      <c r="N139" s="98"/>
      <c r="O139" s="98"/>
      <c r="P139" s="69">
        <v>15</v>
      </c>
      <c r="Q139" s="69" t="s">
        <v>209</v>
      </c>
      <c r="R139" s="69"/>
      <c r="S139" s="70">
        <v>0</v>
      </c>
      <c r="T139" s="71">
        <v>0</v>
      </c>
      <c r="U139" s="76">
        <f>14973/30</f>
        <v>499.1</v>
      </c>
      <c r="V139" s="77">
        <f>TRUNC(U139*P139,2)</f>
        <v>7486.5</v>
      </c>
      <c r="W139" s="78">
        <f>TRUNC(U139*P139*0.04,2)</f>
        <v>299.45999999999998</v>
      </c>
      <c r="X139" s="77">
        <f>TRUNC(U139*0.07*P139,2)</f>
        <v>524.04999999999995</v>
      </c>
      <c r="Y139" s="79">
        <f>S139</f>
        <v>0</v>
      </c>
      <c r="Z139" s="77">
        <f>TRUNC(X139+W139+(IF(Y139&gt;519,519,Y139))+IF(R139=0,0,R139*U139),2)</f>
        <v>823.51</v>
      </c>
      <c r="AA139" s="77">
        <f>TRUNC((IF(R139=0,P139*U139,(P139-R139)*U139))+(IF(Y139&lt;519,0,Y139-519)),2)+T139</f>
        <v>7486.5</v>
      </c>
      <c r="AB139" s="77">
        <f>Z139+AA139</f>
        <v>8310.01</v>
      </c>
      <c r="AC139" s="77"/>
      <c r="AD139" s="77">
        <v>500</v>
      </c>
      <c r="AE139" s="77">
        <v>0</v>
      </c>
      <c r="AF139" s="80">
        <f>IF(U139&gt;0.01,(AA139-VLOOKUP(AA139,quincenal,1))*VLOOKUP(AA139,quincenal,3)+VLOOKUP(AA139,quincenal,2)-VLOOKUP(AA139,subquincenal,2),0)</f>
        <v>1051.927224</v>
      </c>
      <c r="AG139" s="77">
        <f>TRUNC(IF(AF139&gt;0.01,AF139,0),2)</f>
        <v>1051.92</v>
      </c>
      <c r="AH139" s="81">
        <f>TRUNC(IF(AF139&lt;0.01,-AF139,0),2)</f>
        <v>0</v>
      </c>
      <c r="AI139" s="81">
        <f>AB139-AD139-AE139-AG139+AH139</f>
        <v>6758.09</v>
      </c>
      <c r="AJ139" s="70"/>
      <c r="AK139" s="40">
        <v>97</v>
      </c>
      <c r="AM139" s="87"/>
    </row>
    <row r="140" spans="1:39" s="40" customFormat="1" ht="36" customHeight="1">
      <c r="A140" s="100">
        <f>A139+1</f>
        <v>74</v>
      </c>
      <c r="B140" s="68"/>
      <c r="C140" s="68"/>
      <c r="D140" s="61" t="s">
        <v>425</v>
      </c>
      <c r="E140" s="62"/>
      <c r="F140" s="62"/>
      <c r="G140" s="63"/>
      <c r="H140" s="98" t="s">
        <v>424</v>
      </c>
      <c r="I140" s="98"/>
      <c r="J140" s="98"/>
      <c r="K140" s="98"/>
      <c r="L140" s="98"/>
      <c r="M140" s="98"/>
      <c r="N140" s="98"/>
      <c r="O140" s="98"/>
      <c r="P140" s="127">
        <v>15</v>
      </c>
      <c r="Q140" s="127" t="s">
        <v>209</v>
      </c>
      <c r="R140" s="127"/>
      <c r="S140" s="132">
        <v>0</v>
      </c>
      <c r="T140" s="133">
        <v>0</v>
      </c>
      <c r="U140" s="76">
        <f>10341/30</f>
        <v>344.7</v>
      </c>
      <c r="V140" s="79">
        <f t="shared" ref="V140:V142" si="219">TRUNC(U140*P140,2)</f>
        <v>5170.5</v>
      </c>
      <c r="W140" s="135">
        <f t="shared" ref="W140:W142" si="220">TRUNC(U140*P140*0.04,2)</f>
        <v>206.82</v>
      </c>
      <c r="X140" s="79">
        <f t="shared" ref="X140:X142" si="221">TRUNC(U140*0.07*P140,2)</f>
        <v>361.93</v>
      </c>
      <c r="Y140" s="79">
        <f t="shared" ref="Y140:Y142" si="222">S140</f>
        <v>0</v>
      </c>
      <c r="Z140" s="79">
        <f t="shared" ref="Z140:Z142" si="223">TRUNC(X140+W140+(IF(Y140&gt;519,519,Y140))+IF(R140=0,0,R140*U140),2)</f>
        <v>568.75</v>
      </c>
      <c r="AA140" s="79">
        <f t="shared" ref="AA140:AA142" si="224">TRUNC((IF(R140=0,P140*U140,(P140-R140)*U140))+(IF(Y140&lt;519,0,Y140-519)),2)+T140</f>
        <v>5170.5</v>
      </c>
      <c r="AB140" s="79">
        <f t="shared" ref="AB140:AB142" si="225">Z140+AA140</f>
        <v>5739.25</v>
      </c>
      <c r="AC140" s="79"/>
      <c r="AD140" s="79"/>
      <c r="AE140" s="79">
        <v>0</v>
      </c>
      <c r="AF140" s="80">
        <f t="shared" ref="AF140" si="226">IF(U140&gt;0.01,(AA140-VLOOKUP(AA140,quincenal,1))*VLOOKUP(AA140,quincenal,3)+VLOOKUP(AA140,quincenal,2)-VLOOKUP(AA140,subquincenal,2),0)</f>
        <v>557.22962400000006</v>
      </c>
      <c r="AG140" s="79">
        <f t="shared" ref="AG140:AG142" si="227">TRUNC(IF(AF140&gt;0.01,AF140,0),2)</f>
        <v>557.22</v>
      </c>
      <c r="AH140" s="136">
        <f t="shared" ref="AH140:AH142" si="228">TRUNC(IF(AF140&lt;0.01,-AF140,0),2)</f>
        <v>0</v>
      </c>
      <c r="AI140" s="136">
        <f t="shared" ref="AI140:AI142" si="229">AB140-AD140-AE140-AG140+AH140</f>
        <v>5182.03</v>
      </c>
      <c r="AJ140" s="70"/>
      <c r="AK140" s="40">
        <v>98</v>
      </c>
      <c r="AM140" s="87"/>
    </row>
    <row r="141" spans="1:39" s="40" customFormat="1" ht="36" customHeight="1">
      <c r="A141" s="100">
        <f t="shared" ref="A141:A142" si="230">A140+1</f>
        <v>75</v>
      </c>
      <c r="B141" s="155"/>
      <c r="C141" s="155"/>
      <c r="D141" s="61" t="s">
        <v>239</v>
      </c>
      <c r="E141" s="140" t="s">
        <v>297</v>
      </c>
      <c r="F141" s="140" t="s">
        <v>298</v>
      </c>
      <c r="G141" s="141">
        <v>39083</v>
      </c>
      <c r="H141" s="98" t="s">
        <v>194</v>
      </c>
      <c r="I141" s="98"/>
      <c r="J141" s="98"/>
      <c r="K141" s="98"/>
      <c r="L141" s="98"/>
      <c r="M141" s="98"/>
      <c r="N141" s="98"/>
      <c r="O141" s="98"/>
      <c r="P141" s="127">
        <v>15</v>
      </c>
      <c r="Q141" s="127" t="s">
        <v>209</v>
      </c>
      <c r="R141" s="127"/>
      <c r="S141" s="132">
        <v>0</v>
      </c>
      <c r="T141" s="133">
        <v>0</v>
      </c>
      <c r="U141" s="76">
        <f>7781/30</f>
        <v>259.36666666666667</v>
      </c>
      <c r="V141" s="79">
        <f t="shared" si="219"/>
        <v>3890.5</v>
      </c>
      <c r="W141" s="135">
        <f t="shared" si="220"/>
        <v>155.62</v>
      </c>
      <c r="X141" s="79">
        <f t="shared" si="221"/>
        <v>272.33</v>
      </c>
      <c r="Y141" s="79">
        <f t="shared" si="222"/>
        <v>0</v>
      </c>
      <c r="Z141" s="79">
        <f t="shared" si="223"/>
        <v>427.95</v>
      </c>
      <c r="AA141" s="79">
        <f t="shared" si="224"/>
        <v>3890.5</v>
      </c>
      <c r="AB141" s="79">
        <f t="shared" si="225"/>
        <v>4318.45</v>
      </c>
      <c r="AC141" s="79"/>
      <c r="AD141" s="79"/>
      <c r="AE141" s="79">
        <v>0</v>
      </c>
      <c r="AF141" s="80">
        <f t="shared" ref="AF141:AF142" si="231">IF(U141&gt;0.01,(AA141-VLOOKUP(AA141,quincenal,1))*VLOOKUP(AA141,quincenal,3)+VLOOKUP(AA141,quincenal,2)-VLOOKUP(AA141,subquincenal,2),0)</f>
        <v>331.5684</v>
      </c>
      <c r="AG141" s="79">
        <f t="shared" si="227"/>
        <v>331.56</v>
      </c>
      <c r="AH141" s="136">
        <f t="shared" si="228"/>
        <v>0</v>
      </c>
      <c r="AI141" s="136">
        <f t="shared" si="229"/>
        <v>3986.89</v>
      </c>
      <c r="AJ141" s="132"/>
      <c r="AK141" s="40">
        <v>99</v>
      </c>
      <c r="AM141" s="87"/>
    </row>
    <row r="142" spans="1:39" s="40" customFormat="1" ht="36" customHeight="1">
      <c r="A142" s="100">
        <f t="shared" si="230"/>
        <v>76</v>
      </c>
      <c r="B142" s="155"/>
      <c r="C142" s="155"/>
      <c r="D142" s="61" t="s">
        <v>201</v>
      </c>
      <c r="E142" s="140" t="s">
        <v>299</v>
      </c>
      <c r="F142" s="140" t="s">
        <v>300</v>
      </c>
      <c r="G142" s="141">
        <v>39512</v>
      </c>
      <c r="H142" s="98" t="s">
        <v>202</v>
      </c>
      <c r="I142" s="98"/>
      <c r="J142" s="98"/>
      <c r="K142" s="98"/>
      <c r="L142" s="98"/>
      <c r="M142" s="98"/>
      <c r="N142" s="98"/>
      <c r="O142" s="98"/>
      <c r="P142" s="127">
        <v>15</v>
      </c>
      <c r="Q142" s="127" t="s">
        <v>209</v>
      </c>
      <c r="R142" s="127"/>
      <c r="S142" s="132">
        <v>0</v>
      </c>
      <c r="T142" s="133">
        <v>0</v>
      </c>
      <c r="U142" s="76">
        <f>9121/30</f>
        <v>304.03333333333336</v>
      </c>
      <c r="V142" s="79">
        <f t="shared" si="219"/>
        <v>4560.5</v>
      </c>
      <c r="W142" s="135">
        <f t="shared" si="220"/>
        <v>182.42</v>
      </c>
      <c r="X142" s="79">
        <f t="shared" si="221"/>
        <v>319.23</v>
      </c>
      <c r="Y142" s="79">
        <f t="shared" si="222"/>
        <v>0</v>
      </c>
      <c r="Z142" s="79">
        <f t="shared" si="223"/>
        <v>501.65</v>
      </c>
      <c r="AA142" s="79">
        <f t="shared" si="224"/>
        <v>4560.5</v>
      </c>
      <c r="AB142" s="79">
        <f t="shared" si="225"/>
        <v>5062.1499999999996</v>
      </c>
      <c r="AC142" s="79"/>
      <c r="AD142" s="79"/>
      <c r="AE142" s="79">
        <v>0</v>
      </c>
      <c r="AF142" s="80">
        <f t="shared" si="231"/>
        <v>444.74708800000008</v>
      </c>
      <c r="AG142" s="79">
        <f t="shared" si="227"/>
        <v>444.74</v>
      </c>
      <c r="AH142" s="136">
        <f t="shared" si="228"/>
        <v>0</v>
      </c>
      <c r="AI142" s="136">
        <f t="shared" si="229"/>
        <v>4617.41</v>
      </c>
      <c r="AJ142" s="132"/>
      <c r="AK142" s="40">
        <v>100</v>
      </c>
      <c r="AM142" s="87"/>
    </row>
    <row r="143" spans="1:39" s="40" customFormat="1" ht="12.75">
      <c r="A143" s="100"/>
      <c r="B143" s="147"/>
      <c r="C143" s="164"/>
      <c r="D143" s="91" t="str">
        <f>D138</f>
        <v>DIRECCION GENERAL  DE OBRAS PUBLICAS</v>
      </c>
      <c r="E143" s="43"/>
      <c r="F143" s="43"/>
      <c r="G143" s="44"/>
      <c r="H143" s="92"/>
      <c r="I143" s="92"/>
      <c r="J143" s="92"/>
      <c r="K143" s="92"/>
      <c r="L143" s="92"/>
      <c r="M143" s="92"/>
      <c r="N143" s="92"/>
      <c r="O143" s="92"/>
      <c r="P143" s="49"/>
      <c r="Q143" s="49"/>
      <c r="R143" s="49"/>
      <c r="S143" s="50"/>
      <c r="T143" s="51"/>
      <c r="U143" s="93"/>
      <c r="V143" s="94">
        <f>SUM(V139:V142)</f>
        <v>21108</v>
      </c>
      <c r="W143" s="94">
        <f t="shared" ref="W143:AI143" si="232">SUM(W139:W142)</f>
        <v>844.31999999999994</v>
      </c>
      <c r="X143" s="94">
        <f t="shared" si="232"/>
        <v>1477.54</v>
      </c>
      <c r="Y143" s="94">
        <f t="shared" si="232"/>
        <v>0</v>
      </c>
      <c r="Z143" s="94">
        <f t="shared" si="232"/>
        <v>2321.86</v>
      </c>
      <c r="AA143" s="94">
        <f t="shared" si="232"/>
        <v>21108</v>
      </c>
      <c r="AB143" s="94">
        <f t="shared" si="232"/>
        <v>23429.86</v>
      </c>
      <c r="AC143" s="94">
        <f t="shared" si="232"/>
        <v>0</v>
      </c>
      <c r="AD143" s="94">
        <f t="shared" si="232"/>
        <v>500</v>
      </c>
      <c r="AE143" s="94">
        <f t="shared" si="232"/>
        <v>0</v>
      </c>
      <c r="AF143" s="94">
        <f t="shared" si="232"/>
        <v>2385.4723360000003</v>
      </c>
      <c r="AG143" s="94">
        <f t="shared" si="232"/>
        <v>2385.44</v>
      </c>
      <c r="AH143" s="94">
        <f t="shared" si="232"/>
        <v>0</v>
      </c>
      <c r="AI143" s="94">
        <f t="shared" si="232"/>
        <v>20544.419999999998</v>
      </c>
      <c r="AJ143" s="50"/>
    </row>
    <row r="144" spans="1:39" s="40" customFormat="1">
      <c r="A144" s="100"/>
      <c r="B144" s="147"/>
      <c r="C144" s="164"/>
      <c r="D144" s="122"/>
      <c r="E144" s="43"/>
      <c r="F144" s="43"/>
      <c r="G144" s="44"/>
      <c r="H144" s="92"/>
      <c r="I144" s="92"/>
      <c r="J144" s="92"/>
      <c r="K144" s="92"/>
      <c r="L144" s="92"/>
      <c r="M144" s="92"/>
      <c r="N144" s="92"/>
      <c r="O144" s="92"/>
      <c r="P144" s="49"/>
      <c r="Q144" s="49"/>
      <c r="R144" s="49"/>
      <c r="S144" s="50"/>
      <c r="T144" s="51"/>
      <c r="U144" s="93"/>
      <c r="V144" s="83"/>
      <c r="W144" s="148"/>
      <c r="X144" s="83"/>
      <c r="Y144" s="139"/>
      <c r="Z144" s="83"/>
      <c r="AA144" s="83"/>
      <c r="AB144" s="83"/>
      <c r="AC144" s="83"/>
      <c r="AD144" s="83"/>
      <c r="AE144" s="83"/>
      <c r="AF144" s="87"/>
      <c r="AG144" s="83"/>
      <c r="AH144" s="149"/>
      <c r="AI144" s="149"/>
      <c r="AJ144" s="50"/>
    </row>
    <row r="145" spans="1:39" s="40" customFormat="1" ht="12.75">
      <c r="A145" s="100"/>
      <c r="B145" s="147"/>
      <c r="C145" s="147"/>
      <c r="D145" s="91" t="s">
        <v>136</v>
      </c>
      <c r="E145" s="43"/>
      <c r="F145" s="43"/>
      <c r="G145" s="44"/>
      <c r="H145" s="92"/>
      <c r="I145" s="92"/>
      <c r="J145" s="92"/>
      <c r="K145" s="92"/>
      <c r="L145" s="92"/>
      <c r="M145" s="92"/>
      <c r="N145" s="92"/>
      <c r="O145" s="92"/>
      <c r="P145" s="49"/>
      <c r="Q145" s="49"/>
      <c r="R145" s="49"/>
      <c r="S145" s="50"/>
      <c r="T145" s="51"/>
      <c r="U145" s="93"/>
      <c r="V145" s="83"/>
      <c r="W145" s="148"/>
      <c r="X145" s="83"/>
      <c r="Y145" s="139"/>
      <c r="Z145" s="83"/>
      <c r="AA145" s="83"/>
      <c r="AB145" s="83"/>
      <c r="AC145" s="83"/>
      <c r="AD145" s="83"/>
      <c r="AE145" s="83"/>
      <c r="AF145" s="87"/>
      <c r="AG145" s="83"/>
      <c r="AH145" s="149"/>
      <c r="AI145" s="149"/>
      <c r="AJ145" s="50"/>
    </row>
    <row r="146" spans="1:39" s="40" customFormat="1" ht="36" customHeight="1">
      <c r="A146" s="100">
        <f>A142+1</f>
        <v>77</v>
      </c>
      <c r="B146" s="147"/>
      <c r="C146" s="147"/>
      <c r="D146" s="61" t="s">
        <v>387</v>
      </c>
      <c r="E146" s="140" t="s">
        <v>278</v>
      </c>
      <c r="F146" s="140" t="s">
        <v>279</v>
      </c>
      <c r="G146" s="63"/>
      <c r="H146" s="98" t="s">
        <v>345</v>
      </c>
      <c r="I146" s="98"/>
      <c r="J146" s="98"/>
      <c r="K146" s="98"/>
      <c r="L146" s="98"/>
      <c r="M146" s="98"/>
      <c r="N146" s="98"/>
      <c r="O146" s="98"/>
      <c r="P146" s="69">
        <v>15</v>
      </c>
      <c r="Q146" s="69" t="s">
        <v>209</v>
      </c>
      <c r="R146" s="69"/>
      <c r="S146" s="70">
        <v>0</v>
      </c>
      <c r="T146" s="71">
        <v>0</v>
      </c>
      <c r="U146" s="76">
        <f>6795/30</f>
        <v>226.5</v>
      </c>
      <c r="V146" s="77">
        <f>TRUNC(U146*P146,2)</f>
        <v>3397.5</v>
      </c>
      <c r="W146" s="78">
        <f>TRUNC(U146*P146*0.04,2)</f>
        <v>135.9</v>
      </c>
      <c r="X146" s="77">
        <f>TRUNC(U146*0.07*P146,2)</f>
        <v>237.82</v>
      </c>
      <c r="Y146" s="79">
        <f>S146</f>
        <v>0</v>
      </c>
      <c r="Z146" s="77">
        <f>TRUNC(X146+W146+(IF(Y146&gt;519,519,Y146))+IF(R146=0,0,R146*U146),2)</f>
        <v>373.72</v>
      </c>
      <c r="AA146" s="77">
        <f>TRUNC((IF(R146=0,P146*U146,(P146-R146)*U146))+(IF(Y146&lt;519,0,Y146-519)),2)+T146</f>
        <v>3397.5</v>
      </c>
      <c r="AB146" s="77">
        <f>Z146+AA146</f>
        <v>3771.2200000000003</v>
      </c>
      <c r="AC146" s="77"/>
      <c r="AD146" s="77"/>
      <c r="AE146" s="77">
        <v>0</v>
      </c>
      <c r="AF146" s="80">
        <f>IF(U146&gt;0.01,(AA146-VLOOKUP(AA146,quincenal,1))*VLOOKUP(AA146,quincenal,3)+VLOOKUP(AA146,quincenal,2)-VLOOKUP(AA146,subquincenal,2),0)</f>
        <v>140.464912</v>
      </c>
      <c r="AG146" s="77">
        <f>TRUNC(IF(AF146&gt;0.01,AF146,0),2)</f>
        <v>140.46</v>
      </c>
      <c r="AH146" s="81">
        <f>TRUNC(IF(AF146&lt;0.01,-AF146,0),2)</f>
        <v>0</v>
      </c>
      <c r="AI146" s="81">
        <f>AB146-AD146-AE146-AG146+AH146</f>
        <v>3630.76</v>
      </c>
      <c r="AJ146" s="70"/>
      <c r="AK146" s="40">
        <v>103</v>
      </c>
    </row>
    <row r="147" spans="1:39" s="40" customFormat="1" ht="12.75">
      <c r="A147" s="100"/>
      <c r="B147" s="147"/>
      <c r="C147" s="147"/>
      <c r="D147" s="91" t="s">
        <v>136</v>
      </c>
      <c r="E147" s="43"/>
      <c r="F147" s="43"/>
      <c r="G147" s="44"/>
      <c r="H147" s="92"/>
      <c r="I147" s="92"/>
      <c r="J147" s="92"/>
      <c r="K147" s="92"/>
      <c r="L147" s="92"/>
      <c r="M147" s="92"/>
      <c r="N147" s="92"/>
      <c r="O147" s="92"/>
      <c r="P147" s="49"/>
      <c r="Q147" s="49"/>
      <c r="R147" s="49"/>
      <c r="S147" s="50"/>
      <c r="T147" s="51"/>
      <c r="U147" s="93"/>
      <c r="V147" s="94">
        <f>SUM(V146:V146)</f>
        <v>3397.5</v>
      </c>
      <c r="W147" s="94">
        <f t="shared" ref="W147:AI147" si="233">SUM(W146:W146)</f>
        <v>135.9</v>
      </c>
      <c r="X147" s="94">
        <f t="shared" si="233"/>
        <v>237.82</v>
      </c>
      <c r="Y147" s="94">
        <f t="shared" si="233"/>
        <v>0</v>
      </c>
      <c r="Z147" s="94">
        <f t="shared" si="233"/>
        <v>373.72</v>
      </c>
      <c r="AA147" s="94">
        <f t="shared" si="233"/>
        <v>3397.5</v>
      </c>
      <c r="AB147" s="94">
        <f t="shared" si="233"/>
        <v>3771.2200000000003</v>
      </c>
      <c r="AC147" s="94">
        <f t="shared" si="233"/>
        <v>0</v>
      </c>
      <c r="AD147" s="94">
        <f t="shared" si="233"/>
        <v>0</v>
      </c>
      <c r="AE147" s="94">
        <f t="shared" si="233"/>
        <v>0</v>
      </c>
      <c r="AF147" s="94">
        <f t="shared" si="233"/>
        <v>140.464912</v>
      </c>
      <c r="AG147" s="94">
        <f t="shared" si="233"/>
        <v>140.46</v>
      </c>
      <c r="AH147" s="94">
        <f t="shared" si="233"/>
        <v>0</v>
      </c>
      <c r="AI147" s="94">
        <f t="shared" si="233"/>
        <v>3630.76</v>
      </c>
      <c r="AJ147" s="50"/>
    </row>
    <row r="148" spans="1:39" s="40" customFormat="1">
      <c r="A148" s="100"/>
      <c r="B148" s="147"/>
      <c r="C148" s="147"/>
      <c r="D148" s="122"/>
      <c r="E148" s="43"/>
      <c r="F148" s="43"/>
      <c r="G148" s="44"/>
      <c r="H148" s="92"/>
      <c r="I148" s="92"/>
      <c r="J148" s="92"/>
      <c r="K148" s="92"/>
      <c r="L148" s="92"/>
      <c r="M148" s="92"/>
      <c r="N148" s="92"/>
      <c r="O148" s="92"/>
      <c r="P148" s="49"/>
      <c r="Q148" s="49"/>
      <c r="R148" s="49"/>
      <c r="S148" s="50"/>
      <c r="T148" s="51"/>
      <c r="U148" s="93"/>
      <c r="V148" s="83"/>
      <c r="W148" s="148"/>
      <c r="X148" s="83"/>
      <c r="Y148" s="139"/>
      <c r="Z148" s="83"/>
      <c r="AA148" s="83"/>
      <c r="AB148" s="83"/>
      <c r="AC148" s="83"/>
      <c r="AD148" s="83"/>
      <c r="AE148" s="83"/>
      <c r="AF148" s="87"/>
      <c r="AG148" s="83"/>
      <c r="AH148" s="149"/>
      <c r="AI148" s="149"/>
      <c r="AJ148" s="50"/>
    </row>
    <row r="149" spans="1:39" s="40" customFormat="1" ht="12.75">
      <c r="A149" s="100"/>
      <c r="B149" s="147"/>
      <c r="C149" s="147"/>
      <c r="D149" s="91" t="s">
        <v>135</v>
      </c>
      <c r="E149" s="43"/>
      <c r="F149" s="43"/>
      <c r="G149" s="44"/>
      <c r="H149" s="92"/>
      <c r="I149" s="92"/>
      <c r="J149" s="92"/>
      <c r="K149" s="92"/>
      <c r="L149" s="92"/>
      <c r="M149" s="92"/>
      <c r="N149" s="92"/>
      <c r="O149" s="92"/>
      <c r="P149" s="49"/>
      <c r="Q149" s="49"/>
      <c r="R149" s="49"/>
      <c r="S149" s="50"/>
      <c r="T149" s="51"/>
      <c r="U149" s="93"/>
      <c r="V149" s="83"/>
      <c r="W149" s="148"/>
      <c r="X149" s="83"/>
      <c r="Y149" s="139"/>
      <c r="Z149" s="83"/>
      <c r="AA149" s="83"/>
      <c r="AB149" s="83"/>
      <c r="AC149" s="83"/>
      <c r="AD149" s="83"/>
      <c r="AE149" s="83"/>
      <c r="AF149" s="87"/>
      <c r="AG149" s="83"/>
      <c r="AH149" s="149"/>
      <c r="AI149" s="149"/>
      <c r="AJ149" s="50"/>
    </row>
    <row r="150" spans="1:39" s="40" customFormat="1" ht="36" customHeight="1">
      <c r="A150" s="100">
        <f>A146+1</f>
        <v>78</v>
      </c>
      <c r="B150" s="147"/>
      <c r="C150" s="147"/>
      <c r="D150" s="120" t="s">
        <v>350</v>
      </c>
      <c r="E150" s="97" t="s">
        <v>318</v>
      </c>
      <c r="F150" s="97" t="s">
        <v>319</v>
      </c>
      <c r="G150" s="63"/>
      <c r="H150" s="64" t="s">
        <v>76</v>
      </c>
      <c r="I150" s="64"/>
      <c r="J150" s="64"/>
      <c r="K150" s="64"/>
      <c r="L150" s="64"/>
      <c r="M150" s="64"/>
      <c r="N150" s="64"/>
      <c r="O150" s="64"/>
      <c r="P150" s="127">
        <v>15</v>
      </c>
      <c r="Q150" s="127" t="s">
        <v>209</v>
      </c>
      <c r="R150" s="127"/>
      <c r="S150" s="132">
        <v>0</v>
      </c>
      <c r="T150" s="133">
        <v>0</v>
      </c>
      <c r="U150" s="76">
        <f>4923/30</f>
        <v>164.1</v>
      </c>
      <c r="V150" s="79">
        <f>TRUNC(U150*P150,2)</f>
        <v>2461.5</v>
      </c>
      <c r="W150" s="135">
        <f>TRUNC(U150*P150*0.04,2)</f>
        <v>98.46</v>
      </c>
      <c r="X150" s="79">
        <f>TRUNC(U150*0.07*P150,2)</f>
        <v>172.3</v>
      </c>
      <c r="Y150" s="79">
        <f>S150</f>
        <v>0</v>
      </c>
      <c r="Z150" s="79">
        <f>TRUNC(X150+W150+(IF(Y150&gt;519,519,Y150))+IF(R150=0,0,R150*U150),2)</f>
        <v>270.76</v>
      </c>
      <c r="AA150" s="79">
        <f>TRUNC((IF(R150=0,P150*U150,(P150-R150)*U150))+(IF(Y150&lt;519,0,Y150-519)),2)+T150</f>
        <v>2461.5</v>
      </c>
      <c r="AB150" s="79">
        <f>Z150+AA150</f>
        <v>2732.26</v>
      </c>
      <c r="AC150" s="79"/>
      <c r="AD150" s="79"/>
      <c r="AE150" s="79">
        <v>0</v>
      </c>
      <c r="AF150" s="80">
        <f>IF(U150&gt;0.01,(AA150-VLOOKUP(AA150,quincenal,1))*VLOOKUP(AA150,quincenal,3)+VLOOKUP(AA150,quincenal,2)-VLOOKUP(AA150,subquincenal,2),0)</f>
        <v>3.3781119999999873</v>
      </c>
      <c r="AG150" s="79">
        <f>TRUNC(IF(AF150&gt;0.01,AF150,0),2)</f>
        <v>3.37</v>
      </c>
      <c r="AH150" s="136">
        <f>TRUNC(IF(AF150&lt;0.01,-AF150,0),2)</f>
        <v>0</v>
      </c>
      <c r="AI150" s="136">
        <f>AB150-AD150-AE150-AG150+AH150</f>
        <v>2728.8900000000003</v>
      </c>
      <c r="AJ150" s="132"/>
      <c r="AK150" s="40">
        <v>107</v>
      </c>
    </row>
    <row r="151" spans="1:39" s="40" customFormat="1" ht="36" customHeight="1">
      <c r="A151" s="100">
        <f>A150+1</f>
        <v>79</v>
      </c>
      <c r="B151" s="147"/>
      <c r="C151" s="147"/>
      <c r="D151" s="61" t="s">
        <v>431</v>
      </c>
      <c r="E151" s="144" t="s">
        <v>301</v>
      </c>
      <c r="F151" s="62"/>
      <c r="G151" s="63"/>
      <c r="H151" s="64" t="s">
        <v>210</v>
      </c>
      <c r="I151" s="64"/>
      <c r="J151" s="64"/>
      <c r="K151" s="64"/>
      <c r="L151" s="64"/>
      <c r="M151" s="64"/>
      <c r="N151" s="64"/>
      <c r="O151" s="64"/>
      <c r="P151" s="127">
        <v>15</v>
      </c>
      <c r="Q151" s="127" t="s">
        <v>209</v>
      </c>
      <c r="R151" s="127"/>
      <c r="S151" s="132">
        <v>0</v>
      </c>
      <c r="T151" s="133">
        <v>0</v>
      </c>
      <c r="U151" s="76">
        <f>7632/30</f>
        <v>254.4</v>
      </c>
      <c r="V151" s="79">
        <f>TRUNC(U151*P151,2)</f>
        <v>3816</v>
      </c>
      <c r="W151" s="135">
        <f>TRUNC(U151*P151*0.04,2)</f>
        <v>152.63999999999999</v>
      </c>
      <c r="X151" s="79">
        <f>TRUNC(U151*0.07*P151,2)</f>
        <v>267.12</v>
      </c>
      <c r="Y151" s="79">
        <f>S151</f>
        <v>0</v>
      </c>
      <c r="Z151" s="79">
        <f>TRUNC(X151+W151+(IF(Y151&gt;519,519,Y151))+IF(R151=0,0,R151*U151),2)</f>
        <v>419.76</v>
      </c>
      <c r="AA151" s="79">
        <f>TRUNC((IF(R151=0,P151*U151,(P151-R151)*U151))+(IF(Y151&lt;519,0,Y151-519)),2)+T151</f>
        <v>3816</v>
      </c>
      <c r="AB151" s="79">
        <f>Z151+AA151</f>
        <v>4235.76</v>
      </c>
      <c r="AC151" s="79"/>
      <c r="AD151" s="79">
        <v>150</v>
      </c>
      <c r="AE151" s="79">
        <v>0</v>
      </c>
      <c r="AF151" s="80">
        <f>IF(U151&gt;0.01,(AA151-VLOOKUP(AA151,quincenal,1))*VLOOKUP(AA151,quincenal,3)+VLOOKUP(AA151,quincenal,2)-VLOOKUP(AA151,subquincenal,2),0)</f>
        <v>319.64839999999998</v>
      </c>
      <c r="AG151" s="79">
        <f>TRUNC(IF(AF151&gt;0.01,AF151,0),2)</f>
        <v>319.64</v>
      </c>
      <c r="AH151" s="136">
        <f>TRUNC(IF(AF151&lt;0.01,-AF151,0),2)</f>
        <v>0</v>
      </c>
      <c r="AI151" s="136">
        <f>AB151-AD151-AE151-AG151+AH151</f>
        <v>3766.1200000000003</v>
      </c>
      <c r="AJ151" s="132"/>
      <c r="AK151" s="40">
        <v>108</v>
      </c>
    </row>
    <row r="152" spans="1:39" s="40" customFormat="1" ht="12.75">
      <c r="A152" s="100"/>
      <c r="B152" s="147"/>
      <c r="C152" s="147"/>
      <c r="D152" s="91" t="s">
        <v>135</v>
      </c>
      <c r="E152" s="43"/>
      <c r="F152" s="43"/>
      <c r="G152" s="44"/>
      <c r="H152" s="92"/>
      <c r="I152" s="92"/>
      <c r="J152" s="92"/>
      <c r="K152" s="92"/>
      <c r="L152" s="92"/>
      <c r="M152" s="92"/>
      <c r="N152" s="92"/>
      <c r="O152" s="92"/>
      <c r="P152" s="49"/>
      <c r="Q152" s="49"/>
      <c r="R152" s="49"/>
      <c r="S152" s="50"/>
      <c r="T152" s="51"/>
      <c r="U152" s="93"/>
      <c r="V152" s="86">
        <f>SUM(V150:V151)</f>
        <v>6277.5</v>
      </c>
      <c r="W152" s="86">
        <f t="shared" ref="W152:AJ152" si="234">SUM(W150:W151)</f>
        <v>251.09999999999997</v>
      </c>
      <c r="X152" s="86">
        <f t="shared" si="234"/>
        <v>439.42</v>
      </c>
      <c r="Y152" s="86">
        <f t="shared" si="234"/>
        <v>0</v>
      </c>
      <c r="Z152" s="86">
        <f t="shared" si="234"/>
        <v>690.52</v>
      </c>
      <c r="AA152" s="86">
        <f t="shared" si="234"/>
        <v>6277.5</v>
      </c>
      <c r="AB152" s="86">
        <f t="shared" si="234"/>
        <v>6968.02</v>
      </c>
      <c r="AC152" s="86">
        <f t="shared" si="234"/>
        <v>0</v>
      </c>
      <c r="AD152" s="86">
        <f t="shared" si="234"/>
        <v>150</v>
      </c>
      <c r="AE152" s="86">
        <f t="shared" si="234"/>
        <v>0</v>
      </c>
      <c r="AF152" s="86">
        <f t="shared" si="234"/>
        <v>323.02651199999997</v>
      </c>
      <c r="AG152" s="86">
        <f t="shared" si="234"/>
        <v>323.01</v>
      </c>
      <c r="AH152" s="86">
        <f t="shared" si="234"/>
        <v>0</v>
      </c>
      <c r="AI152" s="86">
        <f t="shared" si="234"/>
        <v>6495.01</v>
      </c>
      <c r="AJ152" s="86">
        <f t="shared" si="234"/>
        <v>0</v>
      </c>
    </row>
    <row r="153" spans="1:39" s="40" customFormat="1" ht="12.75">
      <c r="A153" s="100"/>
      <c r="B153" s="147"/>
      <c r="C153" s="147"/>
      <c r="D153" s="91"/>
      <c r="E153" s="43"/>
      <c r="F153" s="43"/>
      <c r="G153" s="44"/>
      <c r="H153" s="92"/>
      <c r="I153" s="92"/>
      <c r="J153" s="92"/>
      <c r="K153" s="92"/>
      <c r="L153" s="92"/>
      <c r="M153" s="92"/>
      <c r="N153" s="92"/>
      <c r="O153" s="92"/>
      <c r="P153" s="49"/>
      <c r="Q153" s="49"/>
      <c r="R153" s="49"/>
      <c r="S153" s="50"/>
      <c r="T153" s="51"/>
      <c r="U153" s="93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</row>
    <row r="154" spans="1:39" s="40" customFormat="1">
      <c r="A154" s="100"/>
      <c r="B154" s="162"/>
      <c r="C154" s="147"/>
      <c r="D154" s="137"/>
      <c r="E154" s="165"/>
      <c r="F154" s="165"/>
      <c r="G154" s="166"/>
      <c r="H154" s="167"/>
      <c r="I154" s="167"/>
      <c r="J154" s="167"/>
      <c r="K154" s="167"/>
      <c r="L154" s="167"/>
      <c r="M154" s="167"/>
      <c r="N154" s="167"/>
      <c r="O154" s="167"/>
      <c r="P154" s="168"/>
      <c r="Q154" s="168"/>
      <c r="R154" s="168"/>
      <c r="S154" s="169"/>
      <c r="T154" s="170"/>
      <c r="U154" s="171"/>
      <c r="V154" s="134"/>
      <c r="W154" s="172"/>
      <c r="X154" s="134"/>
      <c r="Y154" s="134"/>
      <c r="Z154" s="134"/>
      <c r="AA154" s="134"/>
      <c r="AB154" s="134"/>
      <c r="AC154" s="134"/>
      <c r="AD154" s="134"/>
      <c r="AE154" s="134"/>
      <c r="AF154" s="173"/>
      <c r="AG154" s="134"/>
      <c r="AH154" s="174"/>
      <c r="AI154" s="174"/>
      <c r="AJ154" s="169"/>
    </row>
    <row r="155" spans="1:39" s="40" customFormat="1" ht="12.75">
      <c r="A155" s="100"/>
      <c r="B155" s="162"/>
      <c r="C155" s="147"/>
      <c r="D155" s="91" t="s">
        <v>229</v>
      </c>
      <c r="E155" s="43"/>
      <c r="F155" s="43"/>
      <c r="G155" s="44"/>
      <c r="H155" s="92"/>
      <c r="I155" s="92"/>
      <c r="J155" s="92"/>
      <c r="K155" s="92"/>
      <c r="L155" s="92"/>
      <c r="M155" s="92"/>
      <c r="N155" s="92"/>
      <c r="O155" s="92"/>
      <c r="P155" s="49"/>
      <c r="Q155" s="49"/>
      <c r="R155" s="49"/>
      <c r="S155" s="50"/>
      <c r="T155" s="51"/>
      <c r="U155" s="93"/>
      <c r="V155" s="83"/>
      <c r="W155" s="148"/>
      <c r="X155" s="83"/>
      <c r="Y155" s="139"/>
      <c r="Z155" s="83"/>
      <c r="AA155" s="83"/>
      <c r="AB155" s="83"/>
      <c r="AC155" s="83"/>
      <c r="AD155" s="83"/>
      <c r="AE155" s="83"/>
      <c r="AF155" s="87"/>
      <c r="AG155" s="83"/>
      <c r="AH155" s="149"/>
      <c r="AI155" s="149"/>
      <c r="AJ155" s="50"/>
    </row>
    <row r="156" spans="1:39" s="40" customFormat="1" ht="36" customHeight="1">
      <c r="A156" s="100">
        <f>A151+1</f>
        <v>80</v>
      </c>
      <c r="B156" s="68" t="s">
        <v>24</v>
      </c>
      <c r="C156" s="68" t="s">
        <v>29</v>
      </c>
      <c r="D156" s="61" t="s">
        <v>411</v>
      </c>
      <c r="E156" s="140" t="s">
        <v>158</v>
      </c>
      <c r="F156" s="140" t="s">
        <v>182</v>
      </c>
      <c r="G156" s="141">
        <v>39114</v>
      </c>
      <c r="H156" s="98" t="s">
        <v>412</v>
      </c>
      <c r="I156" s="98"/>
      <c r="J156" s="98"/>
      <c r="K156" s="98"/>
      <c r="L156" s="98"/>
      <c r="M156" s="98"/>
      <c r="N156" s="98"/>
      <c r="O156" s="98"/>
      <c r="P156" s="69">
        <v>15</v>
      </c>
      <c r="Q156" s="69" t="s">
        <v>209</v>
      </c>
      <c r="R156" s="69"/>
      <c r="S156" s="70">
        <v>0</v>
      </c>
      <c r="T156" s="71">
        <v>0</v>
      </c>
      <c r="U156" s="76">
        <v>224.452</v>
      </c>
      <c r="V156" s="77">
        <f>TRUNC(U156*P156,2)</f>
        <v>3366.78</v>
      </c>
      <c r="W156" s="78">
        <f>TRUNC(U156*P156*0.04,2)</f>
        <v>134.66999999999999</v>
      </c>
      <c r="X156" s="77">
        <f>TRUNC(U156*0.07*P156,2)</f>
        <v>235.67</v>
      </c>
      <c r="Y156" s="79">
        <f>S156</f>
        <v>0</v>
      </c>
      <c r="Z156" s="77">
        <f>TRUNC(X156+W156+(IF(Y156&gt;519,519,Y156))+IF(R156=0,0,R156*U156),2)</f>
        <v>370.34</v>
      </c>
      <c r="AA156" s="77">
        <f>TRUNC((IF(R156=0,P156*U156,(P156-R156)*U156))+(IF(Y156&lt;519,0,Y156-519)),2)+T156</f>
        <v>3366.78</v>
      </c>
      <c r="AB156" s="77">
        <f>Z156+AA156</f>
        <v>3737.1200000000003</v>
      </c>
      <c r="AC156" s="77"/>
      <c r="AD156" s="77"/>
      <c r="AE156" s="77">
        <v>0</v>
      </c>
      <c r="AF156" s="80">
        <f>IF(U156&gt;0.01,(AA156-VLOOKUP(AA156,quincenal,1))*VLOOKUP(AA156,quincenal,3)+VLOOKUP(AA156,quincenal,2)-VLOOKUP(AA156,subquincenal,2),0)</f>
        <v>137.12257600000001</v>
      </c>
      <c r="AG156" s="77">
        <f>TRUNC(IF(AF156&gt;0.01,AF156,0),2)</f>
        <v>137.12</v>
      </c>
      <c r="AH156" s="81">
        <f>TRUNC(IF(AF156&lt;0.01,-AF156,0),2)</f>
        <v>0</v>
      </c>
      <c r="AI156" s="81">
        <f>AB156-AD156-AE156-AG156+AH156</f>
        <v>3600.0000000000005</v>
      </c>
      <c r="AJ156" s="70"/>
      <c r="AK156" s="40">
        <v>112</v>
      </c>
      <c r="AM156" s="87"/>
    </row>
    <row r="157" spans="1:39" s="40" customFormat="1" ht="36" customHeight="1">
      <c r="A157" s="100">
        <f>A156+1</f>
        <v>81</v>
      </c>
      <c r="B157" s="155"/>
      <c r="C157" s="155"/>
      <c r="D157" s="61" t="s">
        <v>79</v>
      </c>
      <c r="E157" s="140" t="s">
        <v>158</v>
      </c>
      <c r="F157" s="140" t="s">
        <v>182</v>
      </c>
      <c r="G157" s="141">
        <v>39114</v>
      </c>
      <c r="H157" s="98" t="s">
        <v>346</v>
      </c>
      <c r="I157" s="98"/>
      <c r="J157" s="98"/>
      <c r="K157" s="98"/>
      <c r="L157" s="98"/>
      <c r="M157" s="98"/>
      <c r="N157" s="98"/>
      <c r="O157" s="98"/>
      <c r="P157" s="127">
        <v>15</v>
      </c>
      <c r="Q157" s="127" t="s">
        <v>209</v>
      </c>
      <c r="R157" s="127"/>
      <c r="S157" s="132">
        <v>0</v>
      </c>
      <c r="T157" s="133">
        <v>0</v>
      </c>
      <c r="U157" s="76">
        <f>4622/30</f>
        <v>154.06666666666666</v>
      </c>
      <c r="V157" s="79">
        <f t="shared" ref="V157:V161" si="235">TRUNC(U157*P157,2)</f>
        <v>2311</v>
      </c>
      <c r="W157" s="135">
        <f t="shared" ref="W157:W161" si="236">TRUNC(U157*P157*0.04,2)</f>
        <v>92.44</v>
      </c>
      <c r="X157" s="79">
        <f t="shared" ref="X157:X161" si="237">TRUNC(U157*0.07*P157,2)</f>
        <v>161.77000000000001</v>
      </c>
      <c r="Y157" s="79">
        <f t="shared" ref="Y157:Y161" si="238">S157</f>
        <v>0</v>
      </c>
      <c r="Z157" s="79">
        <f t="shared" ref="Z157:Z161" si="239">TRUNC(X157+W157+(IF(Y157&gt;519,519,Y157))+IF(R157=0,0,R157*U157),2)</f>
        <v>254.21</v>
      </c>
      <c r="AA157" s="79">
        <f t="shared" ref="AA157:AA161" si="240">TRUNC((IF(R157=0,P157*U157,(P157-R157)*U157))+(IF(Y157&lt;519,0,Y157-519)),2)+T157</f>
        <v>2311</v>
      </c>
      <c r="AB157" s="79">
        <f t="shared" ref="AB157:AB161" si="241">Z157+AA157</f>
        <v>2565.21</v>
      </c>
      <c r="AC157" s="79"/>
      <c r="AD157" s="79"/>
      <c r="AE157" s="79">
        <v>0</v>
      </c>
      <c r="AF157" s="80">
        <f t="shared" ref="AF157:AF161" si="242">IF(U157&gt;0.01,(AA157-VLOOKUP(AA157,quincenal,1))*VLOOKUP(AA157,quincenal,3)+VLOOKUP(AA157,quincenal,2)-VLOOKUP(AA157,subquincenal,2),0)</f>
        <v>-27.396288000000027</v>
      </c>
      <c r="AG157" s="79">
        <f t="shared" ref="AG157:AG161" si="243">TRUNC(IF(AF157&gt;0.01,AF157,0),2)</f>
        <v>0</v>
      </c>
      <c r="AH157" s="136">
        <f t="shared" ref="AH157:AH161" si="244">TRUNC(IF(AF157&lt;0.01,-AF157,0),2)</f>
        <v>27.39</v>
      </c>
      <c r="AI157" s="136">
        <f t="shared" ref="AI157:AI161" si="245">AB157-AD157-AE157-AG157+AH157</f>
        <v>2592.6</v>
      </c>
      <c r="AJ157" s="132"/>
      <c r="AK157" s="40">
        <v>113</v>
      </c>
      <c r="AM157" s="87"/>
    </row>
    <row r="158" spans="1:39" s="40" customFormat="1" ht="36" customHeight="1">
      <c r="A158" s="100">
        <f>A157+1</f>
        <v>82</v>
      </c>
      <c r="B158" s="155"/>
      <c r="C158" s="155"/>
      <c r="D158" s="61" t="s">
        <v>81</v>
      </c>
      <c r="E158" s="140" t="s">
        <v>153</v>
      </c>
      <c r="F158" s="140" t="s">
        <v>174</v>
      </c>
      <c r="G158" s="141">
        <v>37987</v>
      </c>
      <c r="H158" s="98" t="s">
        <v>346</v>
      </c>
      <c r="I158" s="98"/>
      <c r="J158" s="98"/>
      <c r="K158" s="98"/>
      <c r="L158" s="98"/>
      <c r="M158" s="98"/>
      <c r="N158" s="98"/>
      <c r="O158" s="98"/>
      <c r="P158" s="127">
        <v>15</v>
      </c>
      <c r="Q158" s="127" t="s">
        <v>209</v>
      </c>
      <c r="R158" s="127"/>
      <c r="S158" s="132">
        <v>0</v>
      </c>
      <c r="T158" s="133">
        <v>0</v>
      </c>
      <c r="U158" s="76">
        <f t="shared" ref="U158:U160" si="246">4622/30</f>
        <v>154.06666666666666</v>
      </c>
      <c r="V158" s="79">
        <f t="shared" si="235"/>
        <v>2311</v>
      </c>
      <c r="W158" s="135">
        <f t="shared" si="236"/>
        <v>92.44</v>
      </c>
      <c r="X158" s="79">
        <f t="shared" si="237"/>
        <v>161.77000000000001</v>
      </c>
      <c r="Y158" s="79">
        <f t="shared" si="238"/>
        <v>0</v>
      </c>
      <c r="Z158" s="79">
        <f t="shared" si="239"/>
        <v>254.21</v>
      </c>
      <c r="AA158" s="79">
        <f t="shared" si="240"/>
        <v>2311</v>
      </c>
      <c r="AB158" s="79">
        <f t="shared" si="241"/>
        <v>2565.21</v>
      </c>
      <c r="AC158" s="79"/>
      <c r="AD158" s="79"/>
      <c r="AE158" s="79">
        <v>0</v>
      </c>
      <c r="AF158" s="80">
        <f t="shared" si="242"/>
        <v>-27.396288000000027</v>
      </c>
      <c r="AG158" s="79">
        <f t="shared" si="243"/>
        <v>0</v>
      </c>
      <c r="AH158" s="136">
        <f t="shared" si="244"/>
        <v>27.39</v>
      </c>
      <c r="AI158" s="136">
        <f t="shared" si="245"/>
        <v>2592.6</v>
      </c>
      <c r="AJ158" s="132"/>
      <c r="AK158" s="40">
        <v>114</v>
      </c>
      <c r="AM158" s="87"/>
    </row>
    <row r="159" spans="1:39" s="40" customFormat="1" ht="36" customHeight="1">
      <c r="A159" s="100">
        <f t="shared" ref="A159:A161" si="247">A158+1</f>
        <v>83</v>
      </c>
      <c r="B159" s="155"/>
      <c r="C159" s="155"/>
      <c r="D159" s="61" t="s">
        <v>170</v>
      </c>
      <c r="E159" s="140" t="s">
        <v>147</v>
      </c>
      <c r="F159" s="140" t="s">
        <v>171</v>
      </c>
      <c r="G159" s="141">
        <v>37622</v>
      </c>
      <c r="H159" s="98" t="s">
        <v>346</v>
      </c>
      <c r="I159" s="98"/>
      <c r="J159" s="98"/>
      <c r="K159" s="98"/>
      <c r="L159" s="98"/>
      <c r="M159" s="98"/>
      <c r="N159" s="98"/>
      <c r="O159" s="98"/>
      <c r="P159" s="127">
        <v>15</v>
      </c>
      <c r="Q159" s="127" t="s">
        <v>209</v>
      </c>
      <c r="R159" s="127"/>
      <c r="S159" s="132">
        <v>0</v>
      </c>
      <c r="T159" s="133">
        <v>0</v>
      </c>
      <c r="U159" s="76">
        <f t="shared" si="246"/>
        <v>154.06666666666666</v>
      </c>
      <c r="V159" s="79">
        <f t="shared" si="235"/>
        <v>2311</v>
      </c>
      <c r="W159" s="135">
        <f t="shared" si="236"/>
        <v>92.44</v>
      </c>
      <c r="X159" s="79">
        <f t="shared" si="237"/>
        <v>161.77000000000001</v>
      </c>
      <c r="Y159" s="79">
        <f t="shared" si="238"/>
        <v>0</v>
      </c>
      <c r="Z159" s="79">
        <f t="shared" si="239"/>
        <v>254.21</v>
      </c>
      <c r="AA159" s="79">
        <f t="shared" si="240"/>
        <v>2311</v>
      </c>
      <c r="AB159" s="79">
        <f t="shared" si="241"/>
        <v>2565.21</v>
      </c>
      <c r="AC159" s="79"/>
      <c r="AD159" s="79"/>
      <c r="AE159" s="79">
        <v>0</v>
      </c>
      <c r="AF159" s="80">
        <f t="shared" si="242"/>
        <v>-27.396288000000027</v>
      </c>
      <c r="AG159" s="79">
        <f t="shared" si="243"/>
        <v>0</v>
      </c>
      <c r="AH159" s="136">
        <f t="shared" si="244"/>
        <v>27.39</v>
      </c>
      <c r="AI159" s="136">
        <f t="shared" si="245"/>
        <v>2592.6</v>
      </c>
      <c r="AJ159" s="132"/>
      <c r="AK159" s="40">
        <v>115</v>
      </c>
      <c r="AM159" s="87"/>
    </row>
    <row r="160" spans="1:39" s="40" customFormat="1" ht="36" customHeight="1">
      <c r="A160" s="100">
        <f t="shared" si="247"/>
        <v>84</v>
      </c>
      <c r="B160" s="155"/>
      <c r="C160" s="155"/>
      <c r="D160" s="61" t="s">
        <v>245</v>
      </c>
      <c r="E160" s="62"/>
      <c r="F160" s="62"/>
      <c r="G160" s="63"/>
      <c r="H160" s="98" t="s">
        <v>346</v>
      </c>
      <c r="I160" s="98"/>
      <c r="J160" s="98"/>
      <c r="K160" s="98"/>
      <c r="L160" s="98"/>
      <c r="M160" s="98"/>
      <c r="N160" s="98"/>
      <c r="O160" s="98"/>
      <c r="P160" s="127">
        <v>15</v>
      </c>
      <c r="Q160" s="127" t="s">
        <v>209</v>
      </c>
      <c r="R160" s="127"/>
      <c r="S160" s="132">
        <v>0</v>
      </c>
      <c r="T160" s="133">
        <v>0</v>
      </c>
      <c r="U160" s="76">
        <f t="shared" si="246"/>
        <v>154.06666666666666</v>
      </c>
      <c r="V160" s="79">
        <f t="shared" si="235"/>
        <v>2311</v>
      </c>
      <c r="W160" s="135">
        <f t="shared" si="236"/>
        <v>92.44</v>
      </c>
      <c r="X160" s="79">
        <f t="shared" si="237"/>
        <v>161.77000000000001</v>
      </c>
      <c r="Y160" s="79">
        <f>S160</f>
        <v>0</v>
      </c>
      <c r="Z160" s="79">
        <f t="shared" si="239"/>
        <v>254.21</v>
      </c>
      <c r="AA160" s="79">
        <f t="shared" si="240"/>
        <v>2311</v>
      </c>
      <c r="AB160" s="79">
        <f>Z160+AA160</f>
        <v>2565.21</v>
      </c>
      <c r="AC160" s="79"/>
      <c r="AD160" s="79">
        <v>0</v>
      </c>
      <c r="AE160" s="79">
        <v>0</v>
      </c>
      <c r="AF160" s="80">
        <f>IF(U160&gt;0.01,(AA160-VLOOKUP(AA160,quincenal,1))*VLOOKUP(AA160,quincenal,3)+VLOOKUP(AA160,quincenal,2)-VLOOKUP(AA160,subquincenal,2),0)</f>
        <v>-27.396288000000027</v>
      </c>
      <c r="AG160" s="79">
        <f t="shared" si="243"/>
        <v>0</v>
      </c>
      <c r="AH160" s="136">
        <f>TRUNC(IF(AF160&lt;0.01,-AF160,0),2)</f>
        <v>27.39</v>
      </c>
      <c r="AI160" s="136">
        <f>AB160-AD160-AE160-AG160+AH160</f>
        <v>2592.6</v>
      </c>
      <c r="AJ160" s="132"/>
      <c r="AK160" s="40">
        <v>116</v>
      </c>
      <c r="AM160" s="87"/>
    </row>
    <row r="161" spans="1:39" s="40" customFormat="1" ht="36" customHeight="1">
      <c r="A161" s="100">
        <f t="shared" si="247"/>
        <v>85</v>
      </c>
      <c r="B161" s="155"/>
      <c r="C161" s="155"/>
      <c r="D161" s="61" t="s">
        <v>199</v>
      </c>
      <c r="E161" s="175" t="s">
        <v>200</v>
      </c>
      <c r="F161" s="175" t="s">
        <v>302</v>
      </c>
      <c r="G161" s="160">
        <v>39083</v>
      </c>
      <c r="H161" s="98" t="s">
        <v>346</v>
      </c>
      <c r="I161" s="98"/>
      <c r="J161" s="98"/>
      <c r="K161" s="98"/>
      <c r="L161" s="98"/>
      <c r="M161" s="98"/>
      <c r="N161" s="98"/>
      <c r="O161" s="98"/>
      <c r="P161" s="127">
        <v>15</v>
      </c>
      <c r="Q161" s="127" t="s">
        <v>209</v>
      </c>
      <c r="R161" s="127"/>
      <c r="S161" s="132">
        <v>0</v>
      </c>
      <c r="T161" s="133">
        <v>0</v>
      </c>
      <c r="U161" s="76">
        <f t="shared" ref="U161" si="248">4622/30</f>
        <v>154.06666666666666</v>
      </c>
      <c r="V161" s="79">
        <f t="shared" si="235"/>
        <v>2311</v>
      </c>
      <c r="W161" s="135">
        <f t="shared" si="236"/>
        <v>92.44</v>
      </c>
      <c r="X161" s="79">
        <f t="shared" si="237"/>
        <v>161.77000000000001</v>
      </c>
      <c r="Y161" s="79">
        <f t="shared" si="238"/>
        <v>0</v>
      </c>
      <c r="Z161" s="79">
        <f t="shared" si="239"/>
        <v>254.21</v>
      </c>
      <c r="AA161" s="79">
        <f t="shared" si="240"/>
        <v>2311</v>
      </c>
      <c r="AB161" s="79">
        <f t="shared" si="241"/>
        <v>2565.21</v>
      </c>
      <c r="AC161" s="79"/>
      <c r="AD161" s="79"/>
      <c r="AE161" s="79">
        <v>0</v>
      </c>
      <c r="AF161" s="80">
        <f t="shared" si="242"/>
        <v>-27.396288000000027</v>
      </c>
      <c r="AG161" s="79">
        <f t="shared" si="243"/>
        <v>0</v>
      </c>
      <c r="AH161" s="136">
        <f t="shared" si="244"/>
        <v>27.39</v>
      </c>
      <c r="AI161" s="136">
        <f t="shared" si="245"/>
        <v>2592.6</v>
      </c>
      <c r="AJ161" s="132"/>
      <c r="AK161" s="40">
        <v>121</v>
      </c>
      <c r="AM161" s="87"/>
    </row>
    <row r="162" spans="1:39" s="40" customFormat="1" ht="12.75">
      <c r="A162" s="100"/>
      <c r="B162" s="162"/>
      <c r="C162" s="147"/>
      <c r="D162" s="91" t="s">
        <v>229</v>
      </c>
      <c r="E162" s="43"/>
      <c r="F162" s="43"/>
      <c r="G162" s="44"/>
      <c r="H162" s="92"/>
      <c r="I162" s="92"/>
      <c r="J162" s="92"/>
      <c r="K162" s="92"/>
      <c r="L162" s="92"/>
      <c r="M162" s="92"/>
      <c r="N162" s="92"/>
      <c r="O162" s="92"/>
      <c r="P162" s="49"/>
      <c r="Q162" s="49"/>
      <c r="R162" s="49"/>
      <c r="S162" s="50"/>
      <c r="T162" s="51"/>
      <c r="U162" s="93"/>
      <c r="V162" s="94">
        <f>SUM(V156:V161)</f>
        <v>14921.78</v>
      </c>
      <c r="W162" s="94">
        <f t="shared" ref="W162:AI162" si="249">SUM(W156:W161)</f>
        <v>596.86999999999989</v>
      </c>
      <c r="X162" s="94">
        <f t="shared" si="249"/>
        <v>1044.52</v>
      </c>
      <c r="Y162" s="94">
        <f t="shared" si="249"/>
        <v>0</v>
      </c>
      <c r="Z162" s="94">
        <f t="shared" si="249"/>
        <v>1641.39</v>
      </c>
      <c r="AA162" s="94">
        <f t="shared" si="249"/>
        <v>14921.78</v>
      </c>
      <c r="AB162" s="94">
        <f t="shared" si="249"/>
        <v>16563.169999999998</v>
      </c>
      <c r="AC162" s="94">
        <f t="shared" si="249"/>
        <v>0</v>
      </c>
      <c r="AD162" s="94">
        <f t="shared" si="249"/>
        <v>0</v>
      </c>
      <c r="AE162" s="94">
        <f t="shared" si="249"/>
        <v>0</v>
      </c>
      <c r="AF162" s="94">
        <f t="shared" si="249"/>
        <v>0.14113599999987514</v>
      </c>
      <c r="AG162" s="94">
        <f t="shared" si="249"/>
        <v>137.12</v>
      </c>
      <c r="AH162" s="94">
        <f t="shared" si="249"/>
        <v>136.94999999999999</v>
      </c>
      <c r="AI162" s="94">
        <f t="shared" si="249"/>
        <v>16563</v>
      </c>
      <c r="AJ162" s="50"/>
    </row>
    <row r="163" spans="1:39" s="40" customFormat="1">
      <c r="A163" s="100"/>
      <c r="B163" s="162"/>
      <c r="C163" s="147"/>
      <c r="D163" s="122"/>
      <c r="E163" s="43"/>
      <c r="F163" s="43"/>
      <c r="G163" s="44"/>
      <c r="H163" s="92"/>
      <c r="I163" s="92"/>
      <c r="J163" s="92"/>
      <c r="K163" s="92"/>
      <c r="L163" s="92"/>
      <c r="M163" s="92"/>
      <c r="N163" s="92"/>
      <c r="O163" s="92"/>
      <c r="P163" s="49"/>
      <c r="Q163" s="49"/>
      <c r="R163" s="49"/>
      <c r="S163" s="50"/>
      <c r="T163" s="51"/>
      <c r="U163" s="93"/>
      <c r="V163" s="83"/>
      <c r="W163" s="148"/>
      <c r="X163" s="83"/>
      <c r="Y163" s="139"/>
      <c r="Z163" s="83"/>
      <c r="AA163" s="83"/>
      <c r="AB163" s="83"/>
      <c r="AC163" s="83"/>
      <c r="AD163" s="83"/>
      <c r="AE163" s="83"/>
      <c r="AF163" s="87"/>
      <c r="AG163" s="83"/>
      <c r="AH163" s="149"/>
      <c r="AI163" s="149"/>
      <c r="AJ163" s="50"/>
    </row>
    <row r="164" spans="1:39" s="40" customFormat="1" ht="12.75">
      <c r="A164" s="100"/>
      <c r="B164" s="162"/>
      <c r="C164" s="147"/>
      <c r="D164" s="91" t="s">
        <v>137</v>
      </c>
      <c r="E164" s="43"/>
      <c r="F164" s="43"/>
      <c r="G164" s="44"/>
      <c r="H164" s="92"/>
      <c r="I164" s="92"/>
      <c r="J164" s="92"/>
      <c r="K164" s="92"/>
      <c r="L164" s="92"/>
      <c r="M164" s="92"/>
      <c r="N164" s="92"/>
      <c r="O164" s="92"/>
      <c r="P164" s="49"/>
      <c r="Q164" s="49"/>
      <c r="R164" s="49"/>
      <c r="S164" s="50"/>
      <c r="T164" s="51"/>
      <c r="U164" s="93"/>
      <c r="V164" s="83"/>
      <c r="W164" s="148"/>
      <c r="X164" s="83"/>
      <c r="Y164" s="139"/>
      <c r="Z164" s="83"/>
      <c r="AA164" s="83"/>
      <c r="AB164" s="83"/>
      <c r="AC164" s="83"/>
      <c r="AD164" s="83"/>
      <c r="AE164" s="83"/>
      <c r="AF164" s="87"/>
      <c r="AG164" s="83"/>
      <c r="AH164" s="149"/>
      <c r="AI164" s="149"/>
      <c r="AJ164" s="50"/>
    </row>
    <row r="165" spans="1:39" s="40" customFormat="1" ht="36" customHeight="1">
      <c r="A165" s="100">
        <f>A161+1</f>
        <v>86</v>
      </c>
      <c r="B165" s="68" t="s">
        <v>24</v>
      </c>
      <c r="C165" s="68" t="s">
        <v>82</v>
      </c>
      <c r="D165" s="61" t="s">
        <v>413</v>
      </c>
      <c r="E165" s="140" t="s">
        <v>159</v>
      </c>
      <c r="F165" s="140" t="s">
        <v>183</v>
      </c>
      <c r="G165" s="141">
        <v>37987</v>
      </c>
      <c r="H165" s="142" t="s">
        <v>414</v>
      </c>
      <c r="I165" s="142"/>
      <c r="J165" s="142"/>
      <c r="K165" s="142"/>
      <c r="L165" s="142"/>
      <c r="M165" s="142"/>
      <c r="N165" s="142"/>
      <c r="O165" s="142"/>
      <c r="P165" s="69">
        <v>15</v>
      </c>
      <c r="Q165" s="69" t="s">
        <v>209</v>
      </c>
      <c r="R165" s="69"/>
      <c r="S165" s="70">
        <v>0</v>
      </c>
      <c r="T165" s="71">
        <v>0</v>
      </c>
      <c r="U165" s="76">
        <f>6130/30</f>
        <v>204.33333333333334</v>
      </c>
      <c r="V165" s="77">
        <f t="shared" ref="V165" si="250">TRUNC(U165*P165,2)</f>
        <v>3065</v>
      </c>
      <c r="W165" s="78">
        <f t="shared" ref="W165" si="251">TRUNC(U165*P165*0.04,2)</f>
        <v>122.6</v>
      </c>
      <c r="X165" s="77">
        <f t="shared" ref="X165" si="252">TRUNC(U165*0.07*P165,2)</f>
        <v>214.55</v>
      </c>
      <c r="Y165" s="79">
        <f t="shared" ref="Y165" si="253">S165</f>
        <v>0</v>
      </c>
      <c r="Z165" s="77">
        <f t="shared" ref="Z165" si="254">TRUNC(X165+W165+(IF(Y165&gt;519,519,Y165))+IF(R165=0,0,R165*U165),2)</f>
        <v>337.15</v>
      </c>
      <c r="AA165" s="77">
        <f t="shared" ref="AA165" si="255">TRUNC((IF(R165=0,P165*U165,(P165-R165)*U165))+(IF(Y165&lt;519,0,Y165-519)),2)+T165</f>
        <v>3065</v>
      </c>
      <c r="AB165" s="77">
        <f t="shared" ref="AB165" si="256">Z165+AA165</f>
        <v>3402.15</v>
      </c>
      <c r="AC165" s="77"/>
      <c r="AD165" s="77"/>
      <c r="AE165" s="77">
        <v>0</v>
      </c>
      <c r="AF165" s="80">
        <f t="shared" ref="AF165" si="257">IF(U165&gt;0.01,(AA165-VLOOKUP(AA165,quincenal,1))*VLOOKUP(AA165,quincenal,3)+VLOOKUP(AA165,quincenal,2)-VLOOKUP(AA165,subquincenal,2),0)</f>
        <v>84.038911999999982</v>
      </c>
      <c r="AG165" s="77">
        <f t="shared" ref="AG165" si="258">TRUNC(IF(AF165&gt;0.01,AF165,0),2)</f>
        <v>84.03</v>
      </c>
      <c r="AH165" s="81">
        <f t="shared" ref="AH165" si="259">TRUNC(IF(AF165&lt;0.01,-AF165,0),2)</f>
        <v>0</v>
      </c>
      <c r="AI165" s="81">
        <f t="shared" ref="AI165" si="260">AB165-AD165-AE165-AG165+AH165</f>
        <v>3318.12</v>
      </c>
      <c r="AJ165" s="70"/>
      <c r="AK165" s="40">
        <v>122</v>
      </c>
      <c r="AM165" s="87"/>
    </row>
    <row r="166" spans="1:39" s="40" customFormat="1" ht="12.75">
      <c r="A166" s="100"/>
      <c r="B166" s="147"/>
      <c r="C166" s="147"/>
      <c r="D166" s="91" t="s">
        <v>230</v>
      </c>
      <c r="E166" s="43"/>
      <c r="F166" s="43"/>
      <c r="G166" s="44"/>
      <c r="H166" s="92"/>
      <c r="I166" s="92"/>
      <c r="J166" s="92"/>
      <c r="K166" s="92"/>
      <c r="L166" s="92"/>
      <c r="M166" s="92"/>
      <c r="N166" s="92"/>
      <c r="O166" s="92"/>
      <c r="P166" s="49"/>
      <c r="Q166" s="49"/>
      <c r="R166" s="49"/>
      <c r="S166" s="50"/>
      <c r="T166" s="51"/>
      <c r="U166" s="93"/>
      <c r="V166" s="94">
        <f>SUM(V165:V165)</f>
        <v>3065</v>
      </c>
      <c r="W166" s="94">
        <f t="shared" ref="W166:AI166" si="261">SUM(W165:W165)</f>
        <v>122.6</v>
      </c>
      <c r="X166" s="94">
        <f t="shared" si="261"/>
        <v>214.55</v>
      </c>
      <c r="Y166" s="94">
        <f t="shared" si="261"/>
        <v>0</v>
      </c>
      <c r="Z166" s="94">
        <f t="shared" si="261"/>
        <v>337.15</v>
      </c>
      <c r="AA166" s="94">
        <f t="shared" si="261"/>
        <v>3065</v>
      </c>
      <c r="AB166" s="94">
        <f t="shared" si="261"/>
        <v>3402.15</v>
      </c>
      <c r="AC166" s="94">
        <f t="shared" si="261"/>
        <v>0</v>
      </c>
      <c r="AD166" s="94">
        <f t="shared" si="261"/>
        <v>0</v>
      </c>
      <c r="AE166" s="94">
        <f t="shared" si="261"/>
        <v>0</v>
      </c>
      <c r="AF166" s="94">
        <f t="shared" si="261"/>
        <v>84.038911999999982</v>
      </c>
      <c r="AG166" s="94">
        <f t="shared" si="261"/>
        <v>84.03</v>
      </c>
      <c r="AH166" s="94">
        <f t="shared" si="261"/>
        <v>0</v>
      </c>
      <c r="AI166" s="94">
        <f t="shared" si="261"/>
        <v>3318.12</v>
      </c>
      <c r="AJ166" s="50"/>
    </row>
    <row r="167" spans="1:39" s="40" customFormat="1">
      <c r="A167" s="100"/>
      <c r="B167" s="147"/>
      <c r="C167" s="147"/>
      <c r="D167" s="122"/>
      <c r="E167" s="43"/>
      <c r="F167" s="43"/>
      <c r="G167" s="44"/>
      <c r="H167" s="92"/>
      <c r="I167" s="92"/>
      <c r="J167" s="92"/>
      <c r="K167" s="92"/>
      <c r="L167" s="92"/>
      <c r="M167" s="92"/>
      <c r="N167" s="92"/>
      <c r="O167" s="92"/>
      <c r="P167" s="49"/>
      <c r="Q167" s="49"/>
      <c r="R167" s="49"/>
      <c r="S167" s="50"/>
      <c r="T167" s="51"/>
      <c r="U167" s="93"/>
      <c r="V167" s="83"/>
      <c r="W167" s="148"/>
      <c r="X167" s="83"/>
      <c r="Y167" s="139"/>
      <c r="Z167" s="83"/>
      <c r="AA167" s="83"/>
      <c r="AB167" s="83"/>
      <c r="AC167" s="83"/>
      <c r="AD167" s="83"/>
      <c r="AE167" s="83"/>
      <c r="AF167" s="87"/>
      <c r="AG167" s="83"/>
      <c r="AH167" s="149"/>
      <c r="AI167" s="149"/>
      <c r="AJ167" s="50"/>
    </row>
    <row r="168" spans="1:39" s="40" customFormat="1" ht="12.75">
      <c r="A168" s="100"/>
      <c r="B168" s="147"/>
      <c r="C168" s="147"/>
      <c r="D168" s="91" t="s">
        <v>138</v>
      </c>
      <c r="E168" s="43"/>
      <c r="F168" s="43"/>
      <c r="G168" s="44"/>
      <c r="H168" s="92"/>
      <c r="I168" s="92"/>
      <c r="J168" s="92"/>
      <c r="K168" s="92"/>
      <c r="L168" s="92"/>
      <c r="M168" s="92"/>
      <c r="N168" s="92"/>
      <c r="O168" s="92"/>
      <c r="P168" s="49"/>
      <c r="Q168" s="49"/>
      <c r="R168" s="49"/>
      <c r="S168" s="50"/>
      <c r="T168" s="51"/>
      <c r="U168" s="93"/>
      <c r="V168" s="83"/>
      <c r="W168" s="148"/>
      <c r="X168" s="83"/>
      <c r="Y168" s="139"/>
      <c r="Z168" s="83"/>
      <c r="AA168" s="83"/>
      <c r="AB168" s="83"/>
      <c r="AC168" s="83"/>
      <c r="AD168" s="83"/>
      <c r="AE168" s="83"/>
      <c r="AF168" s="87"/>
      <c r="AG168" s="83"/>
      <c r="AH168" s="149"/>
      <c r="AI168" s="149"/>
      <c r="AJ168" s="50"/>
    </row>
    <row r="169" spans="1:39" s="40" customFormat="1" ht="36" customHeight="1">
      <c r="A169" s="100">
        <f>A165+1</f>
        <v>87</v>
      </c>
      <c r="B169" s="147"/>
      <c r="C169" s="147"/>
      <c r="D169" s="123" t="s">
        <v>87</v>
      </c>
      <c r="E169" s="140" t="s">
        <v>164</v>
      </c>
      <c r="F169" s="140" t="s">
        <v>189</v>
      </c>
      <c r="G169" s="141">
        <v>37987</v>
      </c>
      <c r="H169" s="176" t="s">
        <v>88</v>
      </c>
      <c r="I169" s="176"/>
      <c r="J169" s="176"/>
      <c r="K169" s="176"/>
      <c r="L169" s="176"/>
      <c r="M169" s="176"/>
      <c r="N169" s="176"/>
      <c r="O169" s="176"/>
      <c r="P169" s="177">
        <v>15</v>
      </c>
      <c r="Q169" s="177" t="s">
        <v>209</v>
      </c>
      <c r="R169" s="177"/>
      <c r="S169" s="178">
        <v>0</v>
      </c>
      <c r="T169" s="179">
        <v>0</v>
      </c>
      <c r="U169" s="180">
        <f>7130/30</f>
        <v>237.66666666666666</v>
      </c>
      <c r="V169" s="138">
        <f>TRUNC(U169*P169,2)</f>
        <v>3565</v>
      </c>
      <c r="W169" s="181">
        <f>TRUNC(U169*P169*0.04,2)</f>
        <v>142.6</v>
      </c>
      <c r="X169" s="138">
        <f>TRUNC(U169*0.07*P169,2)</f>
        <v>249.55</v>
      </c>
      <c r="Y169" s="138">
        <f>S169</f>
        <v>0</v>
      </c>
      <c r="Z169" s="138">
        <f>TRUNC(X169+W169+(IF(Y169&gt;519,519,Y169))+IF(R169=0,0,R169*U169),2)</f>
        <v>392.15</v>
      </c>
      <c r="AA169" s="138">
        <f>TRUNC((IF(R169=0,P169*U169,(P169-R169)*U169))+(IF(Y169&lt;519,0,Y169-519)),2)+T169</f>
        <v>3565</v>
      </c>
      <c r="AB169" s="138">
        <f>Z169+AA169</f>
        <v>3957.15</v>
      </c>
      <c r="AC169" s="138"/>
      <c r="AD169" s="138"/>
      <c r="AE169" s="138">
        <v>0</v>
      </c>
      <c r="AF169" s="182">
        <f>IF(U169&gt;0.01,(AA169-VLOOKUP(AA169,quincenal,1))*VLOOKUP(AA169,quincenal,3)+VLOOKUP(AA169,quincenal,2)-VLOOKUP(AA169,subquincenal,2),0)</f>
        <v>176.38891199999998</v>
      </c>
      <c r="AG169" s="138">
        <f>TRUNC(IF(AF169&gt;0.01,AF169,0),2)</f>
        <v>176.38</v>
      </c>
      <c r="AH169" s="183">
        <f>TRUNC(IF(AF169&lt;0.01,-AF169,0),2)</f>
        <v>0</v>
      </c>
      <c r="AI169" s="183">
        <f>AB169-AD169-AE169-AG169+AH169</f>
        <v>3780.77</v>
      </c>
      <c r="AJ169" s="178"/>
      <c r="AK169" s="40">
        <v>131</v>
      </c>
    </row>
    <row r="170" spans="1:39" s="40" customFormat="1" ht="36" customHeight="1">
      <c r="A170" s="100">
        <f>A169+1</f>
        <v>88</v>
      </c>
      <c r="B170" s="147"/>
      <c r="C170" s="147"/>
      <c r="D170" s="61" t="s">
        <v>455</v>
      </c>
      <c r="E170" s="140"/>
      <c r="F170" s="140"/>
      <c r="G170" s="141"/>
      <c r="H170" s="98" t="s">
        <v>454</v>
      </c>
      <c r="I170" s="98"/>
      <c r="J170" s="98"/>
      <c r="K170" s="98"/>
      <c r="L170" s="98"/>
      <c r="M170" s="98"/>
      <c r="N170" s="98"/>
      <c r="O170" s="98"/>
      <c r="P170" s="69">
        <v>15</v>
      </c>
      <c r="Q170" s="69" t="s">
        <v>209</v>
      </c>
      <c r="R170" s="69"/>
      <c r="S170" s="70">
        <v>0</v>
      </c>
      <c r="T170" s="71">
        <v>0</v>
      </c>
      <c r="U170" s="76">
        <f>6795/30</f>
        <v>226.5</v>
      </c>
      <c r="V170" s="77">
        <f>TRUNC(U170*P170,2)</f>
        <v>3397.5</v>
      </c>
      <c r="W170" s="78">
        <f>TRUNC(U170*P170*0.04,2)</f>
        <v>135.9</v>
      </c>
      <c r="X170" s="77">
        <f>TRUNC(U170*0.07*P170,2)</f>
        <v>237.82</v>
      </c>
      <c r="Y170" s="79">
        <f>S170</f>
        <v>0</v>
      </c>
      <c r="Z170" s="77">
        <f>TRUNC(X170+W170+(IF(Y170&gt;519,519,Y170))+IF(R170=0,0,R170*U170),2)</f>
        <v>373.72</v>
      </c>
      <c r="AA170" s="77">
        <f>TRUNC((IF(R170=0,P170*U170,(P170-R170)*U170))+(IF(Y170&lt;519,0,Y170-519)),2)+T170</f>
        <v>3397.5</v>
      </c>
      <c r="AB170" s="77">
        <f>Z170+AA170</f>
        <v>3771.2200000000003</v>
      </c>
      <c r="AC170" s="77"/>
      <c r="AD170" s="77"/>
      <c r="AE170" s="77">
        <v>0</v>
      </c>
      <c r="AF170" s="80">
        <f>IF(U170&gt;0.01,(AA170-VLOOKUP(AA170,quincenal,1))*VLOOKUP(AA170,quincenal,3)+VLOOKUP(AA170,quincenal,2)-VLOOKUP(AA170,subquincenal,2),0)</f>
        <v>140.464912</v>
      </c>
      <c r="AG170" s="77">
        <f>TRUNC(IF(AF170&gt;0.01,AF170,0),2)</f>
        <v>140.46</v>
      </c>
      <c r="AH170" s="81">
        <f>TRUNC(IF(AF170&lt;0.01,-AF170,0),2)</f>
        <v>0</v>
      </c>
      <c r="AI170" s="81">
        <f>AB170-AD170-AE170-AG170+AH170</f>
        <v>3630.76</v>
      </c>
      <c r="AJ170" s="132"/>
      <c r="AK170" s="40">
        <v>132</v>
      </c>
    </row>
    <row r="171" spans="1:39" s="40" customFormat="1" ht="12.75">
      <c r="A171" s="100"/>
      <c r="B171" s="147"/>
      <c r="C171" s="147"/>
      <c r="D171" s="91" t="s">
        <v>138</v>
      </c>
      <c r="E171" s="43"/>
      <c r="F171" s="43"/>
      <c r="G171" s="44"/>
      <c r="H171" s="92"/>
      <c r="I171" s="92"/>
      <c r="J171" s="92"/>
      <c r="K171" s="92"/>
      <c r="L171" s="92"/>
      <c r="M171" s="92"/>
      <c r="N171" s="92"/>
      <c r="O171" s="92"/>
      <c r="P171" s="49"/>
      <c r="Q171" s="49"/>
      <c r="R171" s="49"/>
      <c r="S171" s="50"/>
      <c r="T171" s="51"/>
      <c r="U171" s="93"/>
      <c r="V171" s="86">
        <f>SUM(V169:V170)</f>
        <v>6962.5</v>
      </c>
      <c r="W171" s="86">
        <f t="shared" ref="W171:AI171" si="262">SUM(W169:W170)</f>
        <v>278.5</v>
      </c>
      <c r="X171" s="86">
        <f t="shared" si="262"/>
        <v>487.37</v>
      </c>
      <c r="Y171" s="86">
        <f t="shared" si="262"/>
        <v>0</v>
      </c>
      <c r="Z171" s="86">
        <f t="shared" si="262"/>
        <v>765.87</v>
      </c>
      <c r="AA171" s="86">
        <f t="shared" si="262"/>
        <v>6962.5</v>
      </c>
      <c r="AB171" s="86">
        <f t="shared" si="262"/>
        <v>7728.3700000000008</v>
      </c>
      <c r="AC171" s="86">
        <f t="shared" si="262"/>
        <v>0</v>
      </c>
      <c r="AD171" s="86">
        <f t="shared" si="262"/>
        <v>0</v>
      </c>
      <c r="AE171" s="86">
        <f t="shared" si="262"/>
        <v>0</v>
      </c>
      <c r="AF171" s="86">
        <f t="shared" si="262"/>
        <v>316.85382399999997</v>
      </c>
      <c r="AG171" s="86">
        <f t="shared" si="262"/>
        <v>316.84000000000003</v>
      </c>
      <c r="AH171" s="86">
        <f t="shared" si="262"/>
        <v>0</v>
      </c>
      <c r="AI171" s="86">
        <f t="shared" si="262"/>
        <v>7411.5300000000007</v>
      </c>
      <c r="AJ171" s="50"/>
    </row>
    <row r="172" spans="1:39" s="40" customFormat="1" ht="12.75">
      <c r="A172" s="100"/>
      <c r="B172" s="147"/>
      <c r="C172" s="147"/>
      <c r="D172" s="91"/>
      <c r="E172" s="43"/>
      <c r="F172" s="43"/>
      <c r="G172" s="44"/>
      <c r="H172" s="92"/>
      <c r="I172" s="92"/>
      <c r="J172" s="92"/>
      <c r="K172" s="92"/>
      <c r="L172" s="92"/>
      <c r="M172" s="92"/>
      <c r="N172" s="92"/>
      <c r="O172" s="92"/>
      <c r="P172" s="49"/>
      <c r="Q172" s="49"/>
      <c r="R172" s="49"/>
      <c r="S172" s="50"/>
      <c r="T172" s="51"/>
      <c r="U172" s="93"/>
      <c r="V172" s="83"/>
      <c r="W172" s="148"/>
      <c r="X172" s="83"/>
      <c r="Y172" s="139"/>
      <c r="Z172" s="83"/>
      <c r="AA172" s="83"/>
      <c r="AB172" s="83"/>
      <c r="AC172" s="83"/>
      <c r="AD172" s="83"/>
      <c r="AE172" s="83"/>
      <c r="AF172" s="87"/>
      <c r="AG172" s="83"/>
      <c r="AH172" s="149"/>
      <c r="AI172" s="149"/>
      <c r="AJ172" s="50"/>
    </row>
    <row r="173" spans="1:39" s="40" customFormat="1">
      <c r="A173" s="100"/>
      <c r="B173" s="147"/>
      <c r="C173" s="147"/>
      <c r="D173" s="122"/>
      <c r="E173" s="43"/>
      <c r="F173" s="43"/>
      <c r="G173" s="44"/>
      <c r="H173" s="92"/>
      <c r="I173" s="92"/>
      <c r="J173" s="92"/>
      <c r="K173" s="92"/>
      <c r="L173" s="92"/>
      <c r="M173" s="92"/>
      <c r="N173" s="92"/>
      <c r="O173" s="92"/>
      <c r="P173" s="49"/>
      <c r="Q173" s="49"/>
      <c r="R173" s="49"/>
      <c r="S173" s="50"/>
      <c r="T173" s="51"/>
      <c r="U173" s="93"/>
      <c r="V173" s="83"/>
      <c r="W173" s="148"/>
      <c r="X173" s="83"/>
      <c r="Y173" s="139"/>
      <c r="Z173" s="83"/>
      <c r="AA173" s="83"/>
      <c r="AB173" s="83"/>
      <c r="AC173" s="83"/>
      <c r="AD173" s="83"/>
      <c r="AE173" s="83"/>
      <c r="AF173" s="87"/>
      <c r="AG173" s="83"/>
      <c r="AH173" s="149"/>
      <c r="AI173" s="149"/>
      <c r="AJ173" s="50"/>
    </row>
    <row r="174" spans="1:39" s="40" customFormat="1" ht="12.75">
      <c r="A174" s="100"/>
      <c r="B174" s="147"/>
      <c r="C174" s="147"/>
      <c r="D174" s="91" t="s">
        <v>231</v>
      </c>
      <c r="E174" s="43"/>
      <c r="F174" s="43"/>
      <c r="G174" s="44"/>
      <c r="H174" s="92"/>
      <c r="I174" s="92"/>
      <c r="J174" s="92"/>
      <c r="K174" s="92"/>
      <c r="L174" s="92"/>
      <c r="M174" s="92"/>
      <c r="N174" s="92"/>
      <c r="O174" s="92"/>
      <c r="P174" s="49"/>
      <c r="Q174" s="49"/>
      <c r="R174" s="49"/>
      <c r="S174" s="50"/>
      <c r="T174" s="51"/>
      <c r="U174" s="93"/>
      <c r="V174" s="83"/>
      <c r="W174" s="148"/>
      <c r="X174" s="83"/>
      <c r="Y174" s="139"/>
      <c r="Z174" s="83"/>
      <c r="AA174" s="83"/>
      <c r="AB174" s="83"/>
      <c r="AC174" s="83"/>
      <c r="AD174" s="83"/>
      <c r="AE174" s="83"/>
      <c r="AF174" s="87"/>
      <c r="AG174" s="83"/>
      <c r="AH174" s="149"/>
      <c r="AI174" s="149"/>
      <c r="AJ174" s="50"/>
    </row>
    <row r="175" spans="1:39" s="40" customFormat="1" ht="36" customHeight="1">
      <c r="A175" s="100">
        <f>A170+1</f>
        <v>89</v>
      </c>
      <c r="B175" s="68">
        <v>5</v>
      </c>
      <c r="C175" s="68">
        <v>14</v>
      </c>
      <c r="D175" s="61" t="s">
        <v>383</v>
      </c>
      <c r="E175" s="62"/>
      <c r="F175" s="62"/>
      <c r="G175" s="63"/>
      <c r="H175" s="98" t="s">
        <v>384</v>
      </c>
      <c r="I175" s="98"/>
      <c r="J175" s="98"/>
      <c r="K175" s="98"/>
      <c r="L175" s="98"/>
      <c r="M175" s="98"/>
      <c r="N175" s="98"/>
      <c r="O175" s="98"/>
      <c r="P175" s="69">
        <v>15</v>
      </c>
      <c r="Q175" s="69" t="s">
        <v>209</v>
      </c>
      <c r="R175" s="69"/>
      <c r="S175" s="70">
        <v>0</v>
      </c>
      <c r="T175" s="71">
        <v>0</v>
      </c>
      <c r="U175" s="76">
        <f>4615/30</f>
        <v>153.83333333333334</v>
      </c>
      <c r="V175" s="77">
        <f t="shared" ref="V175:V176" si="263">TRUNC(U175*P175,2)</f>
        <v>2307.5</v>
      </c>
      <c r="W175" s="78">
        <f t="shared" ref="W175:W176" si="264">TRUNC(U175*P175*0.04,2)</f>
        <v>92.3</v>
      </c>
      <c r="X175" s="77">
        <f t="shared" ref="X175:X176" si="265">TRUNC(U175*0.07*P175,2)</f>
        <v>161.52000000000001</v>
      </c>
      <c r="Y175" s="79">
        <f t="shared" ref="Y175:Y176" si="266">S175</f>
        <v>0</v>
      </c>
      <c r="Z175" s="77">
        <f t="shared" ref="Z175:Z176" si="267">TRUNC(X175+W175+(IF(Y175&gt;519,519,Y175))+IF(R175=0,0,R175*U175),2)</f>
        <v>253.82</v>
      </c>
      <c r="AA175" s="77">
        <f t="shared" ref="AA175:AA176" si="268">TRUNC((IF(R175=0,P175*U175,(P175-R175)*U175))+(IF(Y175&lt;519,0,Y175-519)),2)+T175</f>
        <v>2307.5</v>
      </c>
      <c r="AB175" s="77">
        <f t="shared" ref="AB175:AB176" si="269">Z175+AA175</f>
        <v>2561.3200000000002</v>
      </c>
      <c r="AC175" s="77"/>
      <c r="AD175" s="77">
        <v>0</v>
      </c>
      <c r="AE175" s="77">
        <v>0</v>
      </c>
      <c r="AF175" s="80">
        <f t="shared" ref="AF175" si="270">IF(U175&gt;0.01,(AA175-VLOOKUP(AA175,quincenal,1))*VLOOKUP(AA175,quincenal,3)+VLOOKUP(AA175,quincenal,2)-VLOOKUP(AA175,subquincenal,2),0)</f>
        <v>-27.77708800000002</v>
      </c>
      <c r="AG175" s="77">
        <f t="shared" ref="AG175" si="271">TRUNC(IF(AF175&gt;0.01,AF175,0),2)</f>
        <v>0</v>
      </c>
      <c r="AH175" s="81">
        <f t="shared" ref="AH175:AH176" si="272">TRUNC(IF(AF175&lt;0.01,-AF175,0),2)</f>
        <v>27.77</v>
      </c>
      <c r="AI175" s="81">
        <f t="shared" ref="AI175:AI176" si="273">AB175-AD175-AE175-AG175+AH175</f>
        <v>2589.09</v>
      </c>
      <c r="AJ175" s="70"/>
      <c r="AK175" s="40">
        <v>135</v>
      </c>
      <c r="AM175" s="87"/>
    </row>
    <row r="176" spans="1:39" s="40" customFormat="1" ht="36" customHeight="1">
      <c r="A176" s="100">
        <f>A175+1</f>
        <v>90</v>
      </c>
      <c r="B176" s="155"/>
      <c r="C176" s="155"/>
      <c r="D176" s="61" t="s">
        <v>467</v>
      </c>
      <c r="E176" s="140" t="s">
        <v>303</v>
      </c>
      <c r="F176" s="140" t="s">
        <v>304</v>
      </c>
      <c r="G176" s="141">
        <v>39814</v>
      </c>
      <c r="H176" s="98" t="s">
        <v>468</v>
      </c>
      <c r="I176" s="98"/>
      <c r="J176" s="98"/>
      <c r="K176" s="98"/>
      <c r="L176" s="98"/>
      <c r="M176" s="98"/>
      <c r="N176" s="98"/>
      <c r="O176" s="98"/>
      <c r="P176" s="127">
        <v>15</v>
      </c>
      <c r="Q176" s="127" t="s">
        <v>209</v>
      </c>
      <c r="R176" s="127"/>
      <c r="S176" s="132">
        <v>0</v>
      </c>
      <c r="T176" s="133">
        <v>0</v>
      </c>
      <c r="U176" s="76">
        <f>3158/30</f>
        <v>105.26666666666667</v>
      </c>
      <c r="V176" s="79">
        <f t="shared" si="263"/>
        <v>1579</v>
      </c>
      <c r="W176" s="135">
        <f t="shared" si="264"/>
        <v>63.16</v>
      </c>
      <c r="X176" s="79">
        <f t="shared" si="265"/>
        <v>110.53</v>
      </c>
      <c r="Y176" s="79">
        <f t="shared" si="266"/>
        <v>0</v>
      </c>
      <c r="Z176" s="79">
        <f t="shared" si="267"/>
        <v>173.69</v>
      </c>
      <c r="AA176" s="79">
        <f t="shared" si="268"/>
        <v>1579</v>
      </c>
      <c r="AB176" s="79">
        <f t="shared" si="269"/>
        <v>1752.69</v>
      </c>
      <c r="AC176" s="79"/>
      <c r="AD176" s="79"/>
      <c r="AE176" s="79">
        <v>0</v>
      </c>
      <c r="AF176" s="80">
        <f t="shared" ref="AF176" si="274">IF(U176&gt;0.01,(AA176-VLOOKUP(AA176,quincenal,1))*VLOOKUP(AA176,quincenal,3)+VLOOKUP(AA176,quincenal,2)-VLOOKUP(AA176,subquincenal,2),0)</f>
        <v>-110.66183999999998</v>
      </c>
      <c r="AG176" s="79">
        <f t="shared" ref="AG176" si="275">TRUNC(IF(AF176&gt;0.01,AF176,0),2)</f>
        <v>0</v>
      </c>
      <c r="AH176" s="136">
        <f t="shared" si="272"/>
        <v>110.66</v>
      </c>
      <c r="AI176" s="136">
        <f t="shared" si="273"/>
        <v>1863.3500000000001</v>
      </c>
      <c r="AJ176" s="132"/>
      <c r="AK176" s="40">
        <v>141</v>
      </c>
      <c r="AM176" s="87"/>
    </row>
    <row r="177" spans="1:39" s="40" customFormat="1" ht="12.75">
      <c r="A177" s="100"/>
      <c r="B177" s="147"/>
      <c r="C177" s="147"/>
      <c r="D177" s="91" t="s">
        <v>231</v>
      </c>
      <c r="E177" s="43"/>
      <c r="F177" s="43"/>
      <c r="G177" s="44"/>
      <c r="H177" s="92"/>
      <c r="I177" s="92"/>
      <c r="J177" s="92"/>
      <c r="K177" s="92"/>
      <c r="L177" s="92"/>
      <c r="M177" s="92"/>
      <c r="N177" s="92"/>
      <c r="O177" s="92"/>
      <c r="P177" s="49"/>
      <c r="Q177" s="49"/>
      <c r="R177" s="49"/>
      <c r="S177" s="50"/>
      <c r="T177" s="51"/>
      <c r="U177" s="93"/>
      <c r="V177" s="94">
        <f>SUM(V175:V176)</f>
        <v>3886.5</v>
      </c>
      <c r="W177" s="94">
        <f t="shared" ref="W177:AI177" si="276">SUM(W175:W176)</f>
        <v>155.45999999999998</v>
      </c>
      <c r="X177" s="94">
        <f t="shared" si="276"/>
        <v>272.05</v>
      </c>
      <c r="Y177" s="94">
        <f t="shared" si="276"/>
        <v>0</v>
      </c>
      <c r="Z177" s="94">
        <f t="shared" si="276"/>
        <v>427.51</v>
      </c>
      <c r="AA177" s="94">
        <f t="shared" si="276"/>
        <v>3886.5</v>
      </c>
      <c r="AB177" s="94">
        <f t="shared" si="276"/>
        <v>4314.01</v>
      </c>
      <c r="AC177" s="94">
        <f t="shared" si="276"/>
        <v>0</v>
      </c>
      <c r="AD177" s="94">
        <f t="shared" si="276"/>
        <v>0</v>
      </c>
      <c r="AE177" s="94">
        <f t="shared" si="276"/>
        <v>0</v>
      </c>
      <c r="AF177" s="94">
        <f t="shared" si="276"/>
        <v>-138.438928</v>
      </c>
      <c r="AG177" s="94">
        <f t="shared" si="276"/>
        <v>0</v>
      </c>
      <c r="AH177" s="94">
        <f t="shared" si="276"/>
        <v>138.43</v>
      </c>
      <c r="AI177" s="94">
        <f t="shared" si="276"/>
        <v>4452.4400000000005</v>
      </c>
      <c r="AJ177" s="50"/>
    </row>
    <row r="178" spans="1:39" s="40" customFormat="1">
      <c r="A178" s="100"/>
      <c r="B178" s="147"/>
      <c r="C178" s="147"/>
      <c r="D178" s="122"/>
      <c r="E178" s="43"/>
      <c r="F178" s="43"/>
      <c r="G178" s="44"/>
      <c r="H178" s="92"/>
      <c r="I178" s="92"/>
      <c r="J178" s="92"/>
      <c r="K178" s="92"/>
      <c r="L178" s="92"/>
      <c r="M178" s="92"/>
      <c r="N178" s="92"/>
      <c r="O178" s="92"/>
      <c r="P178" s="49"/>
      <c r="Q178" s="49"/>
      <c r="R178" s="49"/>
      <c r="S178" s="50"/>
      <c r="T178" s="51"/>
      <c r="U178" s="93"/>
      <c r="V178" s="83"/>
      <c r="W178" s="148"/>
      <c r="X178" s="83"/>
      <c r="Y178" s="139"/>
      <c r="Z178" s="83"/>
      <c r="AA178" s="83"/>
      <c r="AB178" s="83"/>
      <c r="AC178" s="83"/>
      <c r="AD178" s="83"/>
      <c r="AE178" s="83"/>
      <c r="AF178" s="87"/>
      <c r="AG178" s="83"/>
      <c r="AH178" s="184"/>
      <c r="AI178" s="149"/>
      <c r="AJ178" s="50"/>
    </row>
    <row r="179" spans="1:39" s="40" customFormat="1" ht="12.75">
      <c r="A179" s="100"/>
      <c r="B179" s="162"/>
      <c r="C179" s="147"/>
      <c r="D179" s="91" t="s">
        <v>232</v>
      </c>
      <c r="E179" s="43"/>
      <c r="F179" s="43"/>
      <c r="G179" s="44"/>
      <c r="H179" s="92"/>
      <c r="I179" s="92"/>
      <c r="J179" s="92"/>
      <c r="K179" s="92"/>
      <c r="L179" s="92"/>
      <c r="M179" s="92"/>
      <c r="N179" s="92"/>
      <c r="O179" s="92"/>
      <c r="P179" s="49"/>
      <c r="Q179" s="49"/>
      <c r="R179" s="49"/>
      <c r="S179" s="50"/>
      <c r="T179" s="51"/>
      <c r="U179" s="93"/>
      <c r="V179" s="83"/>
      <c r="W179" s="148"/>
      <c r="X179" s="83"/>
      <c r="Y179" s="139"/>
      <c r="Z179" s="83"/>
      <c r="AA179" s="83"/>
      <c r="AB179" s="83"/>
      <c r="AC179" s="83"/>
      <c r="AD179" s="83"/>
      <c r="AE179" s="83"/>
      <c r="AF179" s="87"/>
      <c r="AG179" s="83"/>
      <c r="AH179" s="149"/>
      <c r="AI179" s="149"/>
      <c r="AJ179" s="50"/>
    </row>
    <row r="180" spans="1:39" s="40" customFormat="1" ht="36" customHeight="1">
      <c r="A180" s="100">
        <f>A176+1</f>
        <v>91</v>
      </c>
      <c r="B180" s="162"/>
      <c r="C180" s="147"/>
      <c r="D180" s="61" t="s">
        <v>94</v>
      </c>
      <c r="E180" s="140" t="s">
        <v>162</v>
      </c>
      <c r="F180" s="140" t="s">
        <v>186</v>
      </c>
      <c r="G180" s="141">
        <v>37987</v>
      </c>
      <c r="H180" s="102" t="s">
        <v>95</v>
      </c>
      <c r="I180" s="102"/>
      <c r="J180" s="102"/>
      <c r="K180" s="102"/>
      <c r="L180" s="102"/>
      <c r="M180" s="102"/>
      <c r="N180" s="102"/>
      <c r="O180" s="102"/>
      <c r="P180" s="127">
        <v>15</v>
      </c>
      <c r="Q180" s="127" t="s">
        <v>209</v>
      </c>
      <c r="R180" s="127"/>
      <c r="S180" s="132">
        <v>0</v>
      </c>
      <c r="T180" s="133">
        <v>0</v>
      </c>
      <c r="U180" s="76">
        <f>7559/30</f>
        <v>251.96666666666667</v>
      </c>
      <c r="V180" s="79">
        <f>TRUNC(U180*P180,2)</f>
        <v>3779.5</v>
      </c>
      <c r="W180" s="135">
        <f>TRUNC(U180*P180*0.04,2)</f>
        <v>151.18</v>
      </c>
      <c r="X180" s="79">
        <f>TRUNC(U180*0.07*P180,2)</f>
        <v>264.56</v>
      </c>
      <c r="Y180" s="79">
        <f>S180</f>
        <v>0</v>
      </c>
      <c r="Z180" s="79">
        <f>TRUNC(X180+W180+(IF(Y180&gt;519,519,Y180))+IF(R180=0,0,R180*U180),2)</f>
        <v>415.74</v>
      </c>
      <c r="AA180" s="79">
        <f>TRUNC((IF(R180=0,P180*U180,(P180-R180)*U180))+(IF(Y180&lt;519,0,Y180-519)),2)+T180</f>
        <v>3779.5</v>
      </c>
      <c r="AB180" s="79">
        <f>Z180+AA180</f>
        <v>4195.24</v>
      </c>
      <c r="AC180" s="79"/>
      <c r="AD180" s="79"/>
      <c r="AE180" s="79">
        <v>0</v>
      </c>
      <c r="AF180" s="80">
        <f>IF(U180&gt;0.01,(AA180-VLOOKUP(AA180,quincenal,1))*VLOOKUP(AA180,quincenal,3)+VLOOKUP(AA180,quincenal,2)-VLOOKUP(AA180,subquincenal,2),0)</f>
        <v>313.80839999999995</v>
      </c>
      <c r="AG180" s="79">
        <f>TRUNC(IF(AF180&gt;0.01,AF180,0),2)</f>
        <v>313.8</v>
      </c>
      <c r="AH180" s="136">
        <f>TRUNC(IF(AF180&lt;0.01,-AF180,0),2)</f>
        <v>0</v>
      </c>
      <c r="AI180" s="136">
        <f>AB180-AD180-AE180-AG180+AH180</f>
        <v>3881.4399999999996</v>
      </c>
      <c r="AJ180" s="132"/>
      <c r="AK180" s="40">
        <v>142</v>
      </c>
    </row>
    <row r="181" spans="1:39" s="40" customFormat="1" ht="36" customHeight="1">
      <c r="A181" s="100">
        <f>A180+1</f>
        <v>92</v>
      </c>
      <c r="B181" s="162"/>
      <c r="C181" s="147"/>
      <c r="D181" s="61" t="s">
        <v>441</v>
      </c>
      <c r="E181" s="140" t="s">
        <v>162</v>
      </c>
      <c r="F181" s="140" t="s">
        <v>186</v>
      </c>
      <c r="G181" s="141">
        <v>37987</v>
      </c>
      <c r="H181" s="102" t="s">
        <v>442</v>
      </c>
      <c r="I181" s="102"/>
      <c r="J181" s="102"/>
      <c r="K181" s="102"/>
      <c r="L181" s="102"/>
      <c r="M181" s="102"/>
      <c r="N181" s="102"/>
      <c r="O181" s="102"/>
      <c r="P181" s="69">
        <v>15</v>
      </c>
      <c r="Q181" s="69" t="s">
        <v>209</v>
      </c>
      <c r="R181" s="69"/>
      <c r="S181" s="70">
        <v>0</v>
      </c>
      <c r="T181" s="71">
        <v>0</v>
      </c>
      <c r="U181" s="76">
        <f>8121/30</f>
        <v>270.7</v>
      </c>
      <c r="V181" s="77">
        <f t="shared" ref="V181:V183" si="277">TRUNC(U181*P181,2)</f>
        <v>4060.5</v>
      </c>
      <c r="W181" s="78">
        <f t="shared" ref="W181:W183" si="278">TRUNC(U181*P181*0.04,2)</f>
        <v>162.41999999999999</v>
      </c>
      <c r="X181" s="77">
        <f t="shared" ref="X181:X183" si="279">TRUNC(U181*0.07*P181,2)</f>
        <v>284.23</v>
      </c>
      <c r="Y181" s="79">
        <f t="shared" ref="Y181:Y183" si="280">S181</f>
        <v>0</v>
      </c>
      <c r="Z181" s="77">
        <f t="shared" ref="Z181:Z183" si="281">TRUNC(X181+W181+(IF(Y181&gt;519,519,Y181))+IF(R181=0,0,R181*U181),2)</f>
        <v>446.65</v>
      </c>
      <c r="AA181" s="77">
        <f t="shared" ref="AA181:AA183" si="282">TRUNC((IF(R181=0,P181*U181,(P181-R181)*U181))+(IF(Y181&lt;519,0,Y181-519)),2)+T181</f>
        <v>4060.5</v>
      </c>
      <c r="AB181" s="77">
        <f t="shared" ref="AB181:AB183" si="283">Z181+AA181</f>
        <v>4507.1499999999996</v>
      </c>
      <c r="AC181" s="77"/>
      <c r="AD181" s="77"/>
      <c r="AE181" s="77">
        <v>0</v>
      </c>
      <c r="AF181" s="80">
        <f>IF(U181&gt;0.01,(AA181-VLOOKUP(AA181,quincenal,1))*VLOOKUP(AA181,quincenal,3)+VLOOKUP(AA181,quincenal,2)-VLOOKUP(AA181,subquincenal,2),0)</f>
        <v>358.76839999999999</v>
      </c>
      <c r="AG181" s="77">
        <f t="shared" ref="AG181:AG183" si="284">TRUNC(IF(AF181&gt;0.01,AF181,0),2)</f>
        <v>358.76</v>
      </c>
      <c r="AH181" s="81">
        <f t="shared" ref="AH181:AH183" si="285">TRUNC(IF(AF181&lt;0.01,-AF181,0),2)</f>
        <v>0</v>
      </c>
      <c r="AI181" s="81">
        <f t="shared" ref="AI181:AI183" si="286">AB181-AD181-AE181-AG181+AH181</f>
        <v>4148.3899999999994</v>
      </c>
      <c r="AJ181" s="70"/>
      <c r="AK181" s="40">
        <v>143</v>
      </c>
    </row>
    <row r="182" spans="1:39" s="40" customFormat="1" ht="36" customHeight="1">
      <c r="A182" s="100">
        <f t="shared" ref="A182:A183" si="287">A181+1</f>
        <v>93</v>
      </c>
      <c r="B182" s="162"/>
      <c r="C182" s="147"/>
      <c r="D182" s="123" t="s">
        <v>444</v>
      </c>
      <c r="E182" s="185" t="s">
        <v>162</v>
      </c>
      <c r="F182" s="185" t="s">
        <v>186</v>
      </c>
      <c r="G182" s="186">
        <v>37987</v>
      </c>
      <c r="H182" s="187" t="s">
        <v>485</v>
      </c>
      <c r="I182" s="187"/>
      <c r="J182" s="187"/>
      <c r="K182" s="187"/>
      <c r="L182" s="187"/>
      <c r="M182" s="187"/>
      <c r="N182" s="187"/>
      <c r="O182" s="187"/>
      <c r="P182" s="188">
        <v>15</v>
      </c>
      <c r="Q182" s="188" t="s">
        <v>209</v>
      </c>
      <c r="R182" s="188"/>
      <c r="S182" s="189">
        <v>0</v>
      </c>
      <c r="T182" s="190">
        <v>0</v>
      </c>
      <c r="U182" s="180">
        <f>8121/30</f>
        <v>270.7</v>
      </c>
      <c r="V182" s="85">
        <f t="shared" si="277"/>
        <v>4060.5</v>
      </c>
      <c r="W182" s="191">
        <f t="shared" si="278"/>
        <v>162.41999999999999</v>
      </c>
      <c r="X182" s="85">
        <f t="shared" si="279"/>
        <v>284.23</v>
      </c>
      <c r="Y182" s="138">
        <f t="shared" si="280"/>
        <v>0</v>
      </c>
      <c r="Z182" s="85">
        <f t="shared" si="281"/>
        <v>446.65</v>
      </c>
      <c r="AA182" s="85">
        <f t="shared" si="282"/>
        <v>4060.5</v>
      </c>
      <c r="AB182" s="85">
        <f t="shared" si="283"/>
        <v>4507.1499999999996</v>
      </c>
      <c r="AC182" s="85"/>
      <c r="AD182" s="85"/>
      <c r="AE182" s="85">
        <v>0</v>
      </c>
      <c r="AF182" s="182">
        <f>IF(U182&gt;0.01,(AA182-VLOOKUP(AA182,quincenal,1))*VLOOKUP(AA182,quincenal,3)+VLOOKUP(AA182,quincenal,2)-VLOOKUP(AA182,subquincenal,2),0)</f>
        <v>358.76839999999999</v>
      </c>
      <c r="AG182" s="85">
        <f t="shared" si="284"/>
        <v>358.76</v>
      </c>
      <c r="AH182" s="192">
        <f t="shared" si="285"/>
        <v>0</v>
      </c>
      <c r="AI182" s="192">
        <f t="shared" si="286"/>
        <v>4148.3899999999994</v>
      </c>
      <c r="AJ182" s="189"/>
      <c r="AK182" s="40">
        <v>144</v>
      </c>
    </row>
    <row r="183" spans="1:39" s="40" customFormat="1" ht="32.1" customHeight="1">
      <c r="A183" s="100">
        <f t="shared" si="287"/>
        <v>94</v>
      </c>
      <c r="B183" s="162"/>
      <c r="C183" s="147"/>
      <c r="D183" s="61" t="s">
        <v>508</v>
      </c>
      <c r="E183" s="140"/>
      <c r="F183" s="140"/>
      <c r="G183" s="141"/>
      <c r="H183" s="128" t="s">
        <v>491</v>
      </c>
      <c r="I183" s="128"/>
      <c r="J183" s="128"/>
      <c r="K183" s="128"/>
      <c r="L183" s="128"/>
      <c r="M183" s="128"/>
      <c r="N183" s="128"/>
      <c r="O183" s="128"/>
      <c r="P183" s="205">
        <v>15</v>
      </c>
      <c r="Q183" s="211" t="s">
        <v>209</v>
      </c>
      <c r="R183" s="206"/>
      <c r="S183" s="207">
        <v>0</v>
      </c>
      <c r="T183" s="208">
        <v>0</v>
      </c>
      <c r="U183" s="103">
        <v>82.109899999999996</v>
      </c>
      <c r="V183" s="79">
        <f t="shared" si="277"/>
        <v>1231.6400000000001</v>
      </c>
      <c r="W183" s="135">
        <f t="shared" si="278"/>
        <v>49.26</v>
      </c>
      <c r="X183" s="79">
        <f t="shared" si="279"/>
        <v>86.21</v>
      </c>
      <c r="Y183" s="79">
        <f t="shared" si="280"/>
        <v>0</v>
      </c>
      <c r="Z183" s="79">
        <f t="shared" si="281"/>
        <v>135.47</v>
      </c>
      <c r="AA183" s="79">
        <f t="shared" si="282"/>
        <v>1231.6400000000001</v>
      </c>
      <c r="AB183" s="79">
        <f t="shared" si="283"/>
        <v>1367.1100000000001</v>
      </c>
      <c r="AC183" s="79"/>
      <c r="AD183" s="79"/>
      <c r="AE183" s="79">
        <v>0</v>
      </c>
      <c r="AF183" s="80">
        <f t="shared" ref="AF183" si="288">IF(U183&gt;0.01,(AA183-VLOOKUP(AA183,quincenal,1))*VLOOKUP(AA183,quincenal,3)+VLOOKUP(AA183,quincenal,2)-VLOOKUP(AA183,subquincenal,2),0)</f>
        <v>-132.89287999999999</v>
      </c>
      <c r="AG183" s="79">
        <f t="shared" si="284"/>
        <v>0</v>
      </c>
      <c r="AH183" s="136">
        <f t="shared" si="285"/>
        <v>132.88999999999999</v>
      </c>
      <c r="AI183" s="136">
        <f t="shared" si="286"/>
        <v>1500</v>
      </c>
      <c r="AJ183" s="70"/>
    </row>
    <row r="184" spans="1:39" s="40" customFormat="1" ht="12.75" customHeight="1">
      <c r="A184" s="100"/>
      <c r="B184" s="147"/>
      <c r="C184" s="147"/>
      <c r="D184" s="91" t="s">
        <v>232</v>
      </c>
      <c r="E184" s="43"/>
      <c r="F184" s="43"/>
      <c r="G184" s="44"/>
      <c r="H184" s="92"/>
      <c r="I184" s="92"/>
      <c r="J184" s="92"/>
      <c r="K184" s="92"/>
      <c r="L184" s="92"/>
      <c r="M184" s="92"/>
      <c r="N184" s="92"/>
      <c r="O184" s="92"/>
      <c r="P184" s="49"/>
      <c r="Q184" s="49"/>
      <c r="R184" s="49"/>
      <c r="S184" s="50"/>
      <c r="T184" s="51"/>
      <c r="U184" s="93"/>
      <c r="V184" s="86">
        <f>SUM(V180:V183)</f>
        <v>13132.14</v>
      </c>
      <c r="W184" s="86">
        <f t="shared" ref="W184:AI184" si="289">SUM(W180:W183)</f>
        <v>525.28</v>
      </c>
      <c r="X184" s="86">
        <f t="shared" si="289"/>
        <v>919.23</v>
      </c>
      <c r="Y184" s="86">
        <f t="shared" si="289"/>
        <v>0</v>
      </c>
      <c r="Z184" s="86">
        <f t="shared" si="289"/>
        <v>1444.51</v>
      </c>
      <c r="AA184" s="86">
        <f t="shared" si="289"/>
        <v>13132.14</v>
      </c>
      <c r="AB184" s="86">
        <f>SUM(AB180:AB183)</f>
        <v>14576.65</v>
      </c>
      <c r="AC184" s="86">
        <f t="shared" si="289"/>
        <v>0</v>
      </c>
      <c r="AD184" s="86">
        <f t="shared" si="289"/>
        <v>0</v>
      </c>
      <c r="AE184" s="86">
        <f t="shared" si="289"/>
        <v>0</v>
      </c>
      <c r="AF184" s="86">
        <f t="shared" si="289"/>
        <v>898.45231999999999</v>
      </c>
      <c r="AG184" s="86">
        <f t="shared" si="289"/>
        <v>1031.32</v>
      </c>
      <c r="AH184" s="86">
        <f t="shared" si="289"/>
        <v>132.88999999999999</v>
      </c>
      <c r="AI184" s="86">
        <f t="shared" si="289"/>
        <v>13678.219999999998</v>
      </c>
      <c r="AJ184" s="86">
        <f t="shared" ref="AJ184" si="290">SUM(AJ180:AJ182)</f>
        <v>0</v>
      </c>
    </row>
    <row r="185" spans="1:39" s="40" customFormat="1" ht="12.75" customHeight="1">
      <c r="A185" s="100"/>
      <c r="B185" s="147"/>
      <c r="C185" s="147"/>
      <c r="D185" s="91"/>
      <c r="E185" s="43"/>
      <c r="F185" s="43"/>
      <c r="G185" s="44"/>
      <c r="H185" s="92"/>
      <c r="I185" s="92"/>
      <c r="J185" s="92"/>
      <c r="K185" s="92"/>
      <c r="L185" s="92"/>
      <c r="M185" s="92"/>
      <c r="N185" s="92"/>
      <c r="O185" s="92"/>
      <c r="P185" s="49"/>
      <c r="Q185" s="49"/>
      <c r="R185" s="49"/>
      <c r="S185" s="50"/>
      <c r="T185" s="51"/>
      <c r="U185" s="93"/>
      <c r="V185" s="83"/>
      <c r="W185" s="148"/>
      <c r="X185" s="83"/>
      <c r="Y185" s="139"/>
      <c r="Z185" s="83"/>
      <c r="AA185" s="83"/>
      <c r="AB185" s="83"/>
      <c r="AC185" s="83"/>
      <c r="AD185" s="83"/>
      <c r="AE185" s="83"/>
      <c r="AF185" s="87"/>
      <c r="AG185" s="83"/>
      <c r="AH185" s="149"/>
      <c r="AI185" s="149"/>
      <c r="AJ185" s="50"/>
    </row>
    <row r="186" spans="1:39" s="40" customFormat="1">
      <c r="A186" s="100"/>
      <c r="B186" s="147"/>
      <c r="C186" s="147"/>
      <c r="D186" s="122"/>
      <c r="E186" s="43"/>
      <c r="F186" s="43"/>
      <c r="G186" s="44"/>
      <c r="H186" s="92"/>
      <c r="I186" s="92"/>
      <c r="J186" s="92"/>
      <c r="K186" s="92"/>
      <c r="L186" s="92"/>
      <c r="M186" s="92"/>
      <c r="N186" s="92"/>
      <c r="O186" s="92"/>
      <c r="P186" s="49"/>
      <c r="Q186" s="49"/>
      <c r="R186" s="49"/>
      <c r="S186" s="50"/>
      <c r="T186" s="51"/>
      <c r="U186" s="93"/>
      <c r="V186" s="83"/>
      <c r="W186" s="148"/>
      <c r="X186" s="83"/>
      <c r="Y186" s="139"/>
      <c r="Z186" s="83"/>
      <c r="AA186" s="83"/>
      <c r="AB186" s="83"/>
      <c r="AC186" s="83"/>
      <c r="AD186" s="83"/>
      <c r="AE186" s="83"/>
      <c r="AF186" s="87"/>
      <c r="AG186" s="83"/>
      <c r="AH186" s="149"/>
      <c r="AI186" s="149"/>
      <c r="AJ186" s="50"/>
    </row>
    <row r="187" spans="1:39" s="40" customFormat="1" ht="12.75">
      <c r="A187" s="100"/>
      <c r="B187" s="147"/>
      <c r="C187" s="147"/>
      <c r="D187" s="91" t="s">
        <v>233</v>
      </c>
      <c r="E187" s="43"/>
      <c r="F187" s="43"/>
      <c r="G187" s="44"/>
      <c r="H187" s="92"/>
      <c r="I187" s="92"/>
      <c r="J187" s="92"/>
      <c r="K187" s="92"/>
      <c r="L187" s="92"/>
      <c r="M187" s="92"/>
      <c r="N187" s="92"/>
      <c r="O187" s="92"/>
      <c r="P187" s="49"/>
      <c r="Q187" s="49"/>
      <c r="R187" s="49"/>
      <c r="S187" s="50"/>
      <c r="T187" s="51"/>
      <c r="U187" s="93"/>
      <c r="V187" s="83"/>
      <c r="W187" s="148"/>
      <c r="X187" s="83"/>
      <c r="Y187" s="139"/>
      <c r="Z187" s="83"/>
      <c r="AA187" s="83"/>
      <c r="AB187" s="83"/>
      <c r="AC187" s="83"/>
      <c r="AD187" s="83"/>
      <c r="AE187" s="83"/>
      <c r="AF187" s="87"/>
      <c r="AG187" s="83"/>
      <c r="AH187" s="149"/>
      <c r="AI187" s="149"/>
      <c r="AJ187" s="50"/>
    </row>
    <row r="188" spans="1:39" s="40" customFormat="1" ht="36" customHeight="1">
      <c r="A188" s="100">
        <f>A183+1</f>
        <v>95</v>
      </c>
      <c r="B188" s="195">
        <v>1</v>
      </c>
      <c r="C188" s="195">
        <v>19</v>
      </c>
      <c r="D188" s="123" t="s">
        <v>392</v>
      </c>
      <c r="E188" s="140" t="s">
        <v>273</v>
      </c>
      <c r="F188" s="140" t="s">
        <v>274</v>
      </c>
      <c r="G188" s="196"/>
      <c r="H188" s="176" t="s">
        <v>347</v>
      </c>
      <c r="I188" s="176"/>
      <c r="J188" s="176"/>
      <c r="K188" s="176"/>
      <c r="L188" s="176"/>
      <c r="M188" s="176"/>
      <c r="N188" s="176"/>
      <c r="O188" s="176"/>
      <c r="P188" s="197">
        <v>15</v>
      </c>
      <c r="Q188" s="198" t="s">
        <v>209</v>
      </c>
      <c r="R188" s="195"/>
      <c r="S188" s="195">
        <v>0</v>
      </c>
      <c r="T188" s="195">
        <v>0</v>
      </c>
      <c r="U188" s="76">
        <f>12653/30</f>
        <v>421.76666666666665</v>
      </c>
      <c r="V188" s="77">
        <f>TRUNC(U188*P188,2)</f>
        <v>6326.5</v>
      </c>
      <c r="W188" s="78">
        <f>TRUNC(U188*P188*0.04,2)</f>
        <v>253.06</v>
      </c>
      <c r="X188" s="77">
        <f>TRUNC(U188*0.07*P188,2)</f>
        <v>442.85</v>
      </c>
      <c r="Y188" s="79">
        <f>S188</f>
        <v>0</v>
      </c>
      <c r="Z188" s="77">
        <f>TRUNC(X188+W188+(IF(Y188&gt;519,519,Y188))+IF(R188=0,0,R188*U188),2)</f>
        <v>695.91</v>
      </c>
      <c r="AA188" s="77">
        <f>TRUNC((IF(R188=0,P188*U188,(P188-R188)*U188))+(IF(Y188&lt;519,0,Y188-519)),2)+T188</f>
        <v>6326.5</v>
      </c>
      <c r="AB188" s="77">
        <f>Z188+AA188</f>
        <v>7022.41</v>
      </c>
      <c r="AC188" s="77"/>
      <c r="AD188" s="77">
        <v>500</v>
      </c>
      <c r="AE188" s="77">
        <v>0</v>
      </c>
      <c r="AF188" s="80">
        <f>IF(U188&gt;0.01,(AA188-VLOOKUP(AA188,quincenal,1))*VLOOKUP(AA188,quincenal,3)+VLOOKUP(AA188,quincenal,2)-VLOOKUP(AA188,subquincenal,2),0)</f>
        <v>804.15122400000007</v>
      </c>
      <c r="AG188" s="77">
        <f>TRUNC(IF(AF188&gt;0.01,AF188,0),2)</f>
        <v>804.15</v>
      </c>
      <c r="AH188" s="81">
        <f>TRUNC(IF(AF188&lt;0.01,-AF188,0),2)</f>
        <v>0</v>
      </c>
      <c r="AI188" s="81">
        <f>AB188-AD188-AE188-AG188+AH188</f>
        <v>5718.26</v>
      </c>
      <c r="AJ188" s="189"/>
      <c r="AK188" s="40">
        <v>146</v>
      </c>
      <c r="AM188" s="87"/>
    </row>
    <row r="189" spans="1:39" s="40" customFormat="1" ht="36" customHeight="1">
      <c r="A189" s="100">
        <f>A188+1</f>
        <v>96</v>
      </c>
      <c r="B189" s="195"/>
      <c r="C189" s="195"/>
      <c r="D189" s="61" t="s">
        <v>396</v>
      </c>
      <c r="E189" s="140" t="s">
        <v>271</v>
      </c>
      <c r="F189" s="140" t="s">
        <v>272</v>
      </c>
      <c r="G189" s="151"/>
      <c r="H189" s="98" t="s">
        <v>397</v>
      </c>
      <c r="I189" s="98"/>
      <c r="J189" s="98"/>
      <c r="K189" s="98"/>
      <c r="L189" s="98"/>
      <c r="M189" s="98"/>
      <c r="N189" s="98"/>
      <c r="O189" s="98"/>
      <c r="P189" s="69">
        <v>15</v>
      </c>
      <c r="Q189" s="69" t="s">
        <v>209</v>
      </c>
      <c r="R189" s="69"/>
      <c r="S189" s="70">
        <v>0</v>
      </c>
      <c r="T189" s="71">
        <v>0</v>
      </c>
      <c r="U189" s="76">
        <f>5714/30</f>
        <v>190.46666666666667</v>
      </c>
      <c r="V189" s="77">
        <f>TRUNC(U189*P189,2)</f>
        <v>2857</v>
      </c>
      <c r="W189" s="78">
        <f>TRUNC(U189*P189*0.04,2)</f>
        <v>114.28</v>
      </c>
      <c r="X189" s="77">
        <f>TRUNC(U189*0.07*P189,2)</f>
        <v>199.99</v>
      </c>
      <c r="Y189" s="79">
        <f>S189</f>
        <v>0</v>
      </c>
      <c r="Z189" s="77">
        <f>TRUNC(X189+W189+(IF(Y189&gt;519,519,Y189))+IF(R189=0,0,R189*U189),2)</f>
        <v>314.27</v>
      </c>
      <c r="AA189" s="77">
        <f>TRUNC((IF(R189=0,P189*U189,(P189-R189)*U189))+(IF(Y189&lt;519,0,Y189-519)),2)+T189</f>
        <v>2857</v>
      </c>
      <c r="AB189" s="77">
        <f>Z189+AA189</f>
        <v>3171.27</v>
      </c>
      <c r="AC189" s="77"/>
      <c r="AD189" s="77"/>
      <c r="AE189" s="77">
        <v>0</v>
      </c>
      <c r="AF189" s="80">
        <f>IF(U189&gt;0.01,(AA189-VLOOKUP(AA189,quincenal,1))*VLOOKUP(AA189,quincenal,3)+VLOOKUP(AA189,quincenal,2)-VLOOKUP(AA189,subquincenal,2),0)</f>
        <v>61.408511999999973</v>
      </c>
      <c r="AG189" s="77">
        <f>TRUNC(IF(AF189&gt;0.01,AF189,0),2)</f>
        <v>61.4</v>
      </c>
      <c r="AH189" s="81">
        <f>TRUNC(IF(AF189&lt;0.01,-AF189,0),2)</f>
        <v>0</v>
      </c>
      <c r="AI189" s="81">
        <f>AB189-AD189-AE189-AG189+AH189</f>
        <v>3109.87</v>
      </c>
      <c r="AJ189" s="70"/>
      <c r="AK189" s="40">
        <v>147</v>
      </c>
      <c r="AM189" s="87"/>
    </row>
    <row r="190" spans="1:39" s="40" customFormat="1" ht="12.75">
      <c r="A190" s="100"/>
      <c r="D190" s="91" t="s">
        <v>233</v>
      </c>
      <c r="E190" s="43"/>
      <c r="F190" s="43"/>
      <c r="G190" s="193"/>
      <c r="H190" s="92"/>
      <c r="I190" s="92"/>
      <c r="J190" s="92"/>
      <c r="K190" s="92"/>
      <c r="L190" s="92"/>
      <c r="M190" s="92"/>
      <c r="N190" s="92"/>
      <c r="O190" s="92"/>
      <c r="P190" s="194"/>
      <c r="Q190" s="194"/>
      <c r="V190" s="94">
        <f>SUM(V188:V189)</f>
        <v>9183.5</v>
      </c>
      <c r="W190" s="94">
        <f t="shared" ref="W190:AI190" si="291">SUM(W188:W189)</f>
        <v>367.34000000000003</v>
      </c>
      <c r="X190" s="94">
        <f t="shared" si="291"/>
        <v>642.84</v>
      </c>
      <c r="Y190" s="94">
        <f t="shared" si="291"/>
        <v>0</v>
      </c>
      <c r="Z190" s="94">
        <f t="shared" si="291"/>
        <v>1010.18</v>
      </c>
      <c r="AA190" s="94">
        <f t="shared" si="291"/>
        <v>9183.5</v>
      </c>
      <c r="AB190" s="94">
        <f t="shared" si="291"/>
        <v>10193.68</v>
      </c>
      <c r="AC190" s="94">
        <f t="shared" si="291"/>
        <v>0</v>
      </c>
      <c r="AD190" s="94">
        <f t="shared" si="291"/>
        <v>500</v>
      </c>
      <c r="AE190" s="94">
        <f t="shared" si="291"/>
        <v>0</v>
      </c>
      <c r="AF190" s="94">
        <f t="shared" si="291"/>
        <v>865.55973600000004</v>
      </c>
      <c r="AG190" s="94">
        <f t="shared" si="291"/>
        <v>865.55</v>
      </c>
      <c r="AH190" s="94">
        <f t="shared" si="291"/>
        <v>0</v>
      </c>
      <c r="AI190" s="94">
        <f t="shared" si="291"/>
        <v>8828.130000000001</v>
      </c>
      <c r="AJ190" s="50"/>
    </row>
    <row r="191" spans="1:39" s="40" customFormat="1">
      <c r="A191" s="100"/>
      <c r="D191" s="122"/>
      <c r="E191" s="43"/>
      <c r="F191" s="43"/>
      <c r="G191" s="193"/>
      <c r="H191" s="92"/>
      <c r="I191" s="92"/>
      <c r="J191" s="92"/>
      <c r="K191" s="92"/>
      <c r="L191" s="92"/>
      <c r="M191" s="92"/>
      <c r="N191" s="92"/>
      <c r="O191" s="92"/>
      <c r="P191" s="194"/>
      <c r="Q191" s="194"/>
      <c r="V191" s="83"/>
      <c r="W191" s="148"/>
      <c r="X191" s="83"/>
      <c r="Y191" s="139"/>
      <c r="Z191" s="83"/>
      <c r="AA191" s="83"/>
      <c r="AB191" s="83"/>
      <c r="AC191" s="83"/>
      <c r="AD191" s="83"/>
      <c r="AE191" s="83"/>
      <c r="AF191" s="87"/>
      <c r="AG191" s="83"/>
      <c r="AH191" s="149"/>
      <c r="AI191" s="149"/>
      <c r="AJ191" s="50"/>
    </row>
    <row r="192" spans="1:39" s="40" customFormat="1">
      <c r="A192" s="100"/>
      <c r="D192" s="122"/>
      <c r="E192" s="43"/>
      <c r="F192" s="43"/>
      <c r="G192" s="193"/>
      <c r="H192" s="92"/>
      <c r="I192" s="92"/>
      <c r="J192" s="92"/>
      <c r="K192" s="92"/>
      <c r="L192" s="92"/>
      <c r="M192" s="92"/>
      <c r="N192" s="92"/>
      <c r="O192" s="92"/>
      <c r="P192" s="194"/>
      <c r="Q192" s="194"/>
      <c r="V192" s="83"/>
      <c r="W192" s="148"/>
      <c r="X192" s="83"/>
      <c r="Y192" s="139"/>
      <c r="Z192" s="83"/>
      <c r="AA192" s="83"/>
      <c r="AB192" s="83"/>
      <c r="AC192" s="83"/>
      <c r="AD192" s="83"/>
      <c r="AE192" s="83"/>
      <c r="AF192" s="87"/>
      <c r="AG192" s="83"/>
      <c r="AH192" s="149"/>
      <c r="AI192" s="149"/>
      <c r="AJ192" s="50"/>
    </row>
    <row r="193" spans="1:39" s="40" customFormat="1" ht="12.75">
      <c r="A193" s="100"/>
      <c r="B193" s="147"/>
      <c r="C193" s="147"/>
      <c r="D193" s="91" t="s">
        <v>234</v>
      </c>
      <c r="E193" s="43"/>
      <c r="F193" s="43"/>
      <c r="G193" s="44"/>
      <c r="H193" s="92"/>
      <c r="I193" s="92"/>
      <c r="J193" s="92"/>
      <c r="K193" s="92"/>
      <c r="L193" s="92"/>
      <c r="M193" s="92"/>
      <c r="N193" s="92"/>
      <c r="O193" s="92"/>
      <c r="P193" s="49"/>
      <c r="Q193" s="49"/>
      <c r="R193" s="49"/>
      <c r="S193" s="50"/>
      <c r="T193" s="51"/>
      <c r="U193" s="93"/>
      <c r="V193" s="83"/>
      <c r="W193" s="148"/>
      <c r="X193" s="83"/>
      <c r="Y193" s="139"/>
      <c r="Z193" s="83"/>
      <c r="AA193" s="83"/>
      <c r="AB193" s="83"/>
      <c r="AC193" s="83"/>
      <c r="AD193" s="83"/>
      <c r="AE193" s="83"/>
      <c r="AF193" s="87"/>
      <c r="AG193" s="83"/>
      <c r="AH193" s="149"/>
      <c r="AI193" s="149"/>
      <c r="AJ193" s="50"/>
    </row>
    <row r="194" spans="1:39" s="40" customFormat="1" ht="36" customHeight="1">
      <c r="A194" s="163">
        <f>A189+1</f>
        <v>97</v>
      </c>
      <c r="B194" s="68" t="s">
        <v>55</v>
      </c>
      <c r="C194" s="68" t="s">
        <v>16</v>
      </c>
      <c r="D194" s="61" t="s">
        <v>492</v>
      </c>
      <c r="E194" s="144" t="s">
        <v>263</v>
      </c>
      <c r="F194" s="62"/>
      <c r="G194" s="63"/>
      <c r="H194" s="102" t="s">
        <v>208</v>
      </c>
      <c r="I194" s="102"/>
      <c r="J194" s="102"/>
      <c r="K194" s="102"/>
      <c r="L194" s="102"/>
      <c r="M194" s="102"/>
      <c r="N194" s="102"/>
      <c r="O194" s="102"/>
      <c r="P194" s="69">
        <v>15</v>
      </c>
      <c r="Q194" s="69" t="s">
        <v>209</v>
      </c>
      <c r="R194" s="69"/>
      <c r="S194" s="70">
        <v>0</v>
      </c>
      <c r="T194" s="71">
        <v>0</v>
      </c>
      <c r="U194" s="76">
        <v>442.72</v>
      </c>
      <c r="V194" s="77">
        <f>TRUNC(U194*P194,2)</f>
        <v>6640.8</v>
      </c>
      <c r="W194" s="78">
        <f>TRUNC(U194*P194*0.04,2)</f>
        <v>265.63</v>
      </c>
      <c r="X194" s="77">
        <f>TRUNC(U194*0.07*P194,2)</f>
        <v>464.85</v>
      </c>
      <c r="Y194" s="79">
        <f>S194</f>
        <v>0</v>
      </c>
      <c r="Z194" s="77">
        <f>TRUNC(X194+W194+(IF(Y194&gt;519,519,Y194))+IF(R194=0,0,R194*U194),2)</f>
        <v>730.48</v>
      </c>
      <c r="AA194" s="77">
        <f>TRUNC((IF(R194=0,P194*U194,(P194-R194)*U194))+(IF(Y194&lt;519,0,Y194-519)),2)+T194</f>
        <v>6640.8</v>
      </c>
      <c r="AB194" s="77">
        <f>Z194+AA194</f>
        <v>7371.2800000000007</v>
      </c>
      <c r="AC194" s="77"/>
      <c r="AD194" s="77">
        <v>500</v>
      </c>
      <c r="AE194" s="77">
        <v>0</v>
      </c>
      <c r="AF194" s="80">
        <f>IF(U194&gt;0.01,(AA194-VLOOKUP(AA194,quincenal,1))*VLOOKUP(AA194,quincenal,3)+VLOOKUP(AA194,quincenal,2)-VLOOKUP(AA194,subquincenal,2),0)</f>
        <v>871.28570400000012</v>
      </c>
      <c r="AG194" s="77">
        <f>TRUNC(IF(AF194&gt;0.01,AF194,0),2)</f>
        <v>871.28</v>
      </c>
      <c r="AH194" s="81">
        <f>TRUNC(IF(AF194&lt;0.01,-AF194,0),2)</f>
        <v>0</v>
      </c>
      <c r="AI194" s="81">
        <f>AB194-AD194-AE194-AG194+AH194</f>
        <v>6000.0000000000009</v>
      </c>
      <c r="AJ194" s="70"/>
      <c r="AK194" s="40">
        <v>149</v>
      </c>
      <c r="AM194" s="87"/>
    </row>
    <row r="195" spans="1:39" s="40" customFormat="1" ht="36" customHeight="1">
      <c r="A195" s="163">
        <f>A194+1</f>
        <v>98</v>
      </c>
      <c r="B195" s="68"/>
      <c r="C195" s="68"/>
      <c r="D195" s="61" t="s">
        <v>395</v>
      </c>
      <c r="E195" s="144" t="s">
        <v>264</v>
      </c>
      <c r="F195" s="62"/>
      <c r="G195" s="63"/>
      <c r="H195" s="98" t="s">
        <v>500</v>
      </c>
      <c r="I195" s="98"/>
      <c r="J195" s="98"/>
      <c r="K195" s="98"/>
      <c r="L195" s="98"/>
      <c r="M195" s="98"/>
      <c r="N195" s="98"/>
      <c r="O195" s="98"/>
      <c r="P195" s="69">
        <v>15</v>
      </c>
      <c r="Q195" s="69" t="s">
        <v>209</v>
      </c>
      <c r="R195" s="69"/>
      <c r="S195" s="70">
        <v>0</v>
      </c>
      <c r="T195" s="71">
        <v>0</v>
      </c>
      <c r="U195" s="76">
        <f>5714/30</f>
        <v>190.46666666666667</v>
      </c>
      <c r="V195" s="77">
        <f>TRUNC(U195*P195,2)</f>
        <v>2857</v>
      </c>
      <c r="W195" s="78">
        <f>TRUNC(U195*P195*0.04,2)</f>
        <v>114.28</v>
      </c>
      <c r="X195" s="77">
        <f>TRUNC(U195*0.07*P195,2)</f>
        <v>199.99</v>
      </c>
      <c r="Y195" s="79">
        <f>S195</f>
        <v>0</v>
      </c>
      <c r="Z195" s="77">
        <f>TRUNC(X195+W195+(IF(Y195&gt;519,519,Y195))+IF(R195=0,0,R195*U195),2)</f>
        <v>314.27</v>
      </c>
      <c r="AA195" s="77">
        <f>TRUNC((IF(R195=0,P195*U195,(P195-R195)*U195))+(IF(Y195&lt;519,0,Y195-519)),2)+T195</f>
        <v>2857</v>
      </c>
      <c r="AB195" s="77">
        <f>Z195+AA195</f>
        <v>3171.27</v>
      </c>
      <c r="AC195" s="77"/>
      <c r="AD195" s="77"/>
      <c r="AE195" s="77">
        <v>0</v>
      </c>
      <c r="AF195" s="80">
        <f>IF(U195&gt;0.01,(AA195-VLOOKUP(AA195,quincenal,1))*VLOOKUP(AA195,quincenal,3)+VLOOKUP(AA195,quincenal,2)-VLOOKUP(AA195,subquincenal,2),0)</f>
        <v>61.408511999999973</v>
      </c>
      <c r="AG195" s="77">
        <f>TRUNC(IF(AF195&gt;0.01,AF195,0),2)</f>
        <v>61.4</v>
      </c>
      <c r="AH195" s="81">
        <f>TRUNC(IF(AF195&lt;0.01,-AF195,0),2)</f>
        <v>0</v>
      </c>
      <c r="AI195" s="81">
        <f>AB195-AD195-AE195-AG195+AH195</f>
        <v>3109.87</v>
      </c>
      <c r="AJ195" s="70"/>
      <c r="AM195" s="87"/>
    </row>
    <row r="196" spans="1:39" s="40" customFormat="1" ht="36" customHeight="1">
      <c r="A196" s="163">
        <f>A195+1</f>
        <v>99</v>
      </c>
      <c r="B196" s="68"/>
      <c r="C196" s="68"/>
      <c r="D196" s="61" t="s">
        <v>404</v>
      </c>
      <c r="E196" s="62"/>
      <c r="F196" s="62"/>
      <c r="G196" s="151"/>
      <c r="H196" s="102" t="s">
        <v>403</v>
      </c>
      <c r="I196" s="102"/>
      <c r="J196" s="102"/>
      <c r="K196" s="102"/>
      <c r="L196" s="102"/>
      <c r="M196" s="102"/>
      <c r="N196" s="102"/>
      <c r="O196" s="102"/>
      <c r="P196" s="152">
        <v>15</v>
      </c>
      <c r="Q196" s="69" t="s">
        <v>209</v>
      </c>
      <c r="R196" s="69"/>
      <c r="S196" s="70">
        <v>0</v>
      </c>
      <c r="T196" s="71">
        <v>0</v>
      </c>
      <c r="U196" s="76">
        <f>5714/30</f>
        <v>190.46666666666667</v>
      </c>
      <c r="V196" s="77">
        <f>TRUNC(U196*P196,2)</f>
        <v>2857</v>
      </c>
      <c r="W196" s="78">
        <f>TRUNC(U196*P196*0.04,2)</f>
        <v>114.28</v>
      </c>
      <c r="X196" s="77">
        <f>TRUNC(U196*0.07*P196,2)</f>
        <v>199.99</v>
      </c>
      <c r="Y196" s="79">
        <f>S196</f>
        <v>0</v>
      </c>
      <c r="Z196" s="77">
        <f>TRUNC(X196+W196+(IF(Y196&gt;519,519,Y196))+IF(R196=0,0,R196*U196),2)</f>
        <v>314.27</v>
      </c>
      <c r="AA196" s="77">
        <f>TRUNC((IF(R196=0,P196*U196,(P196-R196)*U196))+(IF(Y196&lt;519,0,Y196-519)),2)+T196</f>
        <v>2857</v>
      </c>
      <c r="AB196" s="77">
        <f>Z196+AA196</f>
        <v>3171.27</v>
      </c>
      <c r="AC196" s="77"/>
      <c r="AD196" s="77"/>
      <c r="AE196" s="77">
        <v>0</v>
      </c>
      <c r="AF196" s="80">
        <f>IF(U196&gt;0.01,(AA196-VLOOKUP(AA196,quincenal,1))*VLOOKUP(AA196,quincenal,3)+VLOOKUP(AA196,quincenal,2)-VLOOKUP(AA196,subquincenal,2),0)</f>
        <v>61.408511999999973</v>
      </c>
      <c r="AG196" s="77">
        <f>TRUNC(IF(AF196&gt;0.01,AF196,0),2)</f>
        <v>61.4</v>
      </c>
      <c r="AH196" s="81">
        <f>TRUNC(IF(AF196&lt;0.01,-AF196,0),2)</f>
        <v>0</v>
      </c>
      <c r="AI196" s="81">
        <f>AB196-AD196-AE196-AG196+AH196</f>
        <v>3109.87</v>
      </c>
      <c r="AJ196" s="70"/>
      <c r="AK196" s="40">
        <v>150</v>
      </c>
      <c r="AM196" s="87"/>
    </row>
    <row r="197" spans="1:39" s="40" customFormat="1" ht="12.75">
      <c r="A197" s="100"/>
      <c r="B197" s="147"/>
      <c r="C197" s="147"/>
      <c r="D197" s="91" t="s">
        <v>234</v>
      </c>
      <c r="E197" s="43"/>
      <c r="F197" s="43"/>
      <c r="G197" s="44"/>
      <c r="H197" s="92"/>
      <c r="I197" s="92"/>
      <c r="J197" s="92"/>
      <c r="K197" s="92"/>
      <c r="L197" s="92"/>
      <c r="M197" s="92"/>
      <c r="N197" s="92"/>
      <c r="O197" s="92"/>
      <c r="P197" s="49"/>
      <c r="Q197" s="49"/>
      <c r="R197" s="49"/>
      <c r="S197" s="50"/>
      <c r="T197" s="51"/>
      <c r="U197" s="93"/>
      <c r="V197" s="94">
        <f>SUM(V194:V196)</f>
        <v>12354.8</v>
      </c>
      <c r="W197" s="94">
        <f t="shared" ref="W197:AI197" si="292">SUM(W194:W196)</f>
        <v>494.18999999999994</v>
      </c>
      <c r="X197" s="94">
        <f t="shared" si="292"/>
        <v>864.83</v>
      </c>
      <c r="Y197" s="94">
        <f t="shared" si="292"/>
        <v>0</v>
      </c>
      <c r="Z197" s="94">
        <f t="shared" si="292"/>
        <v>1359.02</v>
      </c>
      <c r="AA197" s="94">
        <f t="shared" si="292"/>
        <v>12354.8</v>
      </c>
      <c r="AB197" s="94">
        <f t="shared" si="292"/>
        <v>13713.820000000002</v>
      </c>
      <c r="AC197" s="94">
        <f t="shared" si="292"/>
        <v>0</v>
      </c>
      <c r="AD197" s="94">
        <f t="shared" si="292"/>
        <v>500</v>
      </c>
      <c r="AE197" s="94">
        <f t="shared" si="292"/>
        <v>0</v>
      </c>
      <c r="AF197" s="94">
        <f t="shared" si="292"/>
        <v>994.10272800000007</v>
      </c>
      <c r="AG197" s="94">
        <f t="shared" si="292"/>
        <v>994.07999999999993</v>
      </c>
      <c r="AH197" s="94">
        <f t="shared" si="292"/>
        <v>0</v>
      </c>
      <c r="AI197" s="94">
        <f t="shared" si="292"/>
        <v>12219.740000000002</v>
      </c>
      <c r="AJ197" s="50"/>
    </row>
    <row r="198" spans="1:39" s="40" customFormat="1" ht="12.75">
      <c r="A198" s="100"/>
      <c r="B198" s="147"/>
      <c r="C198" s="147"/>
      <c r="D198" s="91"/>
      <c r="E198" s="43"/>
      <c r="F198" s="43"/>
      <c r="G198" s="44"/>
      <c r="H198" s="92"/>
      <c r="I198" s="92"/>
      <c r="J198" s="92"/>
      <c r="K198" s="92"/>
      <c r="L198" s="92"/>
      <c r="M198" s="92"/>
      <c r="N198" s="92"/>
      <c r="O198" s="92"/>
      <c r="P198" s="49"/>
      <c r="Q198" s="49"/>
      <c r="R198" s="49"/>
      <c r="S198" s="50"/>
      <c r="T198" s="51"/>
      <c r="U198" s="93"/>
      <c r="V198" s="94"/>
      <c r="W198" s="94"/>
      <c r="X198" s="94"/>
      <c r="Y198" s="94"/>
      <c r="Z198" s="94"/>
      <c r="AA198" s="94"/>
      <c r="AB198" s="94"/>
      <c r="AC198" s="94"/>
      <c r="AD198" s="86"/>
      <c r="AE198" s="86"/>
      <c r="AF198" s="94"/>
      <c r="AG198" s="94"/>
      <c r="AH198" s="94"/>
      <c r="AI198" s="94"/>
      <c r="AJ198" s="50"/>
    </row>
    <row r="199" spans="1:39" s="40" customFormat="1" ht="12.75">
      <c r="A199" s="100"/>
      <c r="B199" s="147"/>
      <c r="C199" s="164"/>
      <c r="D199" s="91" t="s">
        <v>46</v>
      </c>
      <c r="E199" s="43"/>
      <c r="F199" s="43"/>
      <c r="G199" s="44"/>
      <c r="H199" s="92"/>
      <c r="I199" s="92"/>
      <c r="J199" s="92"/>
      <c r="K199" s="92"/>
      <c r="L199" s="92"/>
      <c r="M199" s="92"/>
      <c r="N199" s="92"/>
      <c r="O199" s="92"/>
      <c r="P199" s="49"/>
      <c r="Q199" s="49"/>
      <c r="R199" s="49"/>
      <c r="S199" s="50"/>
      <c r="T199" s="51"/>
      <c r="U199" s="93"/>
      <c r="V199" s="83"/>
      <c r="W199" s="148"/>
      <c r="X199" s="83"/>
      <c r="Y199" s="139"/>
      <c r="Z199" s="83"/>
      <c r="AA199" s="83"/>
      <c r="AB199" s="83"/>
      <c r="AC199" s="83"/>
      <c r="AD199" s="83"/>
      <c r="AE199" s="83"/>
      <c r="AF199" s="87"/>
      <c r="AG199" s="83"/>
      <c r="AH199" s="149"/>
      <c r="AI199" s="149"/>
      <c r="AJ199" s="50"/>
    </row>
    <row r="200" spans="1:39" s="40" customFormat="1" ht="36" customHeight="1">
      <c r="A200" s="100">
        <f>A196+1</f>
        <v>100</v>
      </c>
      <c r="B200" s="68" t="s">
        <v>21</v>
      </c>
      <c r="C200" s="68" t="s">
        <v>16</v>
      </c>
      <c r="D200" s="61" t="s">
        <v>406</v>
      </c>
      <c r="E200" s="62"/>
      <c r="F200" s="62"/>
      <c r="G200" s="63"/>
      <c r="H200" s="98" t="s">
        <v>460</v>
      </c>
      <c r="I200" s="98"/>
      <c r="J200" s="98"/>
      <c r="K200" s="98"/>
      <c r="L200" s="98"/>
      <c r="M200" s="98"/>
      <c r="N200" s="98"/>
      <c r="O200" s="98"/>
      <c r="P200" s="69">
        <v>15</v>
      </c>
      <c r="Q200" s="69" t="s">
        <v>209</v>
      </c>
      <c r="R200" s="69"/>
      <c r="S200" s="70">
        <v>0</v>
      </c>
      <c r="T200" s="71">
        <v>0</v>
      </c>
      <c r="U200" s="76">
        <f>3556/30</f>
        <v>118.53333333333333</v>
      </c>
      <c r="V200" s="77">
        <f t="shared" ref="V200" si="293">TRUNC(U200*P200,2)</f>
        <v>1778</v>
      </c>
      <c r="W200" s="78">
        <f t="shared" ref="W200" si="294">TRUNC(U200*P200*0.04,2)</f>
        <v>71.12</v>
      </c>
      <c r="X200" s="77">
        <f t="shared" ref="X200" si="295">TRUNC(U200*0.07*P200,2)</f>
        <v>124.46</v>
      </c>
      <c r="Y200" s="79">
        <f t="shared" ref="Y200:Y201" si="296">S200</f>
        <v>0</v>
      </c>
      <c r="Z200" s="77">
        <f t="shared" ref="Z200:Z201" si="297">TRUNC(X200+W200+(IF(Y200&gt;519,519,Y200))+IF(R200=0,0,R200*U200),2)</f>
        <v>195.58</v>
      </c>
      <c r="AA200" s="77">
        <f t="shared" ref="AA200:AA201" si="298">TRUNC((IF(R200=0,P200*U200,(P200-R200)*U200))+(IF(Y200&lt;519,0,Y200-519)),2)+T200</f>
        <v>1778</v>
      </c>
      <c r="AB200" s="77">
        <f t="shared" ref="AB200:AB201" si="299">Z200+AA200</f>
        <v>1973.58</v>
      </c>
      <c r="AC200" s="77"/>
      <c r="AD200" s="77"/>
      <c r="AE200" s="77">
        <v>0</v>
      </c>
      <c r="AF200" s="80">
        <f t="shared" ref="AF200:AF201" si="300">IF(U200&gt;0.01,(AA200-VLOOKUP(AA200,quincenal,1))*VLOOKUP(AA200,quincenal,3)+VLOOKUP(AA200,quincenal,2)-VLOOKUP(AA200,subquincenal,2),0)</f>
        <v>-85.92583999999998</v>
      </c>
      <c r="AG200" s="77">
        <v>0</v>
      </c>
      <c r="AH200" s="81">
        <f t="shared" ref="AH200" si="301">TRUNC(IF(AF200&lt;0.01,-AF200,0),2)</f>
        <v>85.92</v>
      </c>
      <c r="AI200" s="81">
        <f t="shared" ref="AI200:AI201" si="302">AB200-AD200-AE200-AG200+AH200</f>
        <v>2059.5</v>
      </c>
      <c r="AJ200" s="70"/>
      <c r="AK200" s="40">
        <v>151</v>
      </c>
      <c r="AM200" s="87"/>
    </row>
    <row r="201" spans="1:39" s="40" customFormat="1" ht="3.75" customHeight="1">
      <c r="A201" s="100">
        <f>A200+1</f>
        <v>101</v>
      </c>
      <c r="B201" s="155"/>
      <c r="C201" s="155"/>
      <c r="D201" s="61"/>
      <c r="E201" s="62"/>
      <c r="F201" s="62"/>
      <c r="G201" s="63"/>
      <c r="H201" s="98"/>
      <c r="I201" s="98"/>
      <c r="J201" s="98"/>
      <c r="K201" s="98"/>
      <c r="L201" s="98"/>
      <c r="M201" s="98"/>
      <c r="N201" s="98"/>
      <c r="O201" s="98"/>
      <c r="P201" s="127"/>
      <c r="Q201" s="127" t="s">
        <v>209</v>
      </c>
      <c r="R201" s="127"/>
      <c r="S201" s="132">
        <v>0</v>
      </c>
      <c r="T201" s="133">
        <v>0</v>
      </c>
      <c r="U201" s="76">
        <f>3933/30</f>
        <v>131.1</v>
      </c>
      <c r="V201" s="79"/>
      <c r="W201" s="135"/>
      <c r="X201" s="79"/>
      <c r="Y201" s="79">
        <f t="shared" si="296"/>
        <v>0</v>
      </c>
      <c r="Z201" s="79">
        <f t="shared" si="297"/>
        <v>0</v>
      </c>
      <c r="AA201" s="79">
        <f t="shared" si="298"/>
        <v>0</v>
      </c>
      <c r="AB201" s="79">
        <f t="shared" si="299"/>
        <v>0</v>
      </c>
      <c r="AC201" s="79"/>
      <c r="AD201" s="79"/>
      <c r="AE201" s="79"/>
      <c r="AF201" s="80" t="e">
        <f t="shared" si="300"/>
        <v>#N/A</v>
      </c>
      <c r="AG201" s="79"/>
      <c r="AH201" s="136"/>
      <c r="AI201" s="136">
        <f t="shared" si="302"/>
        <v>0</v>
      </c>
      <c r="AJ201" s="70"/>
      <c r="AM201" s="87"/>
    </row>
    <row r="202" spans="1:39" s="40" customFormat="1" ht="36" customHeight="1">
      <c r="A202" s="100">
        <f>A200+1</f>
        <v>101</v>
      </c>
      <c r="B202" s="155"/>
      <c r="C202" s="155"/>
      <c r="D202" s="61" t="s">
        <v>463</v>
      </c>
      <c r="E202" s="62"/>
      <c r="F202" s="62"/>
      <c r="G202" s="63"/>
      <c r="H202" s="98" t="s">
        <v>464</v>
      </c>
      <c r="I202" s="98"/>
      <c r="J202" s="98"/>
      <c r="K202" s="98"/>
      <c r="L202" s="98"/>
      <c r="M202" s="98"/>
      <c r="N202" s="98"/>
      <c r="O202" s="98"/>
      <c r="P202" s="69">
        <v>15</v>
      </c>
      <c r="Q202" s="69" t="s">
        <v>209</v>
      </c>
      <c r="R202" s="69"/>
      <c r="S202" s="70">
        <v>0</v>
      </c>
      <c r="T202" s="71">
        <v>0</v>
      </c>
      <c r="U202" s="76">
        <f>6795/30</f>
        <v>226.5</v>
      </c>
      <c r="V202" s="77">
        <f>TRUNC(U202*P202,2)</f>
        <v>3397.5</v>
      </c>
      <c r="W202" s="78">
        <f>TRUNC(U202*P202*0.04,2)</f>
        <v>135.9</v>
      </c>
      <c r="X202" s="77">
        <f>TRUNC(U202*0.07*P202,2)</f>
        <v>237.82</v>
      </c>
      <c r="Y202" s="79">
        <f>S202</f>
        <v>0</v>
      </c>
      <c r="Z202" s="77">
        <f>TRUNC(X202+W202+(IF(Y202&gt;519,519,Y202))+IF(R202=0,0,R202*U202),2)</f>
        <v>373.72</v>
      </c>
      <c r="AA202" s="77">
        <f>TRUNC((IF(R202=0,P202*U202,(P202-R202)*U202))+(IF(Y202&lt;519,0,Y202-519)),2)+T202</f>
        <v>3397.5</v>
      </c>
      <c r="AB202" s="77">
        <f>Z202+AA202</f>
        <v>3771.2200000000003</v>
      </c>
      <c r="AC202" s="77"/>
      <c r="AD202" s="77"/>
      <c r="AE202" s="77">
        <v>0</v>
      </c>
      <c r="AF202" s="80">
        <f>IF(U202&gt;0.01,(AA202-VLOOKUP(AA202,quincenal,1))*VLOOKUP(AA202,quincenal,3)+VLOOKUP(AA202,quincenal,2)-VLOOKUP(AA202,subquincenal,2),0)</f>
        <v>140.464912</v>
      </c>
      <c r="AG202" s="77">
        <f>TRUNC(IF(AF202&gt;0.01,AF202,0),2)</f>
        <v>140.46</v>
      </c>
      <c r="AH202" s="81">
        <f>TRUNC(IF(AF202&lt;0.01,-AF202,0),2)</f>
        <v>0</v>
      </c>
      <c r="AI202" s="81">
        <f>AB202-AD202-AE202-AG202+AH202</f>
        <v>3630.76</v>
      </c>
      <c r="AJ202" s="70"/>
      <c r="AM202" s="87"/>
    </row>
    <row r="203" spans="1:39" s="40" customFormat="1" ht="2.25" customHeight="1">
      <c r="A203" s="100">
        <f t="shared" ref="A203:A205" si="303">A202+1</f>
        <v>102</v>
      </c>
      <c r="B203" s="155"/>
      <c r="C203" s="155"/>
      <c r="D203" s="61"/>
      <c r="E203" s="140" t="s">
        <v>275</v>
      </c>
      <c r="F203" s="140" t="s">
        <v>276</v>
      </c>
      <c r="G203" s="199"/>
      <c r="H203" s="64" t="s">
        <v>47</v>
      </c>
      <c r="I203" s="64"/>
      <c r="J203" s="64"/>
      <c r="K203" s="64"/>
      <c r="L203" s="64"/>
      <c r="M203" s="64"/>
      <c r="N203" s="64"/>
      <c r="O203" s="64"/>
      <c r="P203" s="205">
        <v>0</v>
      </c>
      <c r="Q203" s="211" t="s">
        <v>209</v>
      </c>
      <c r="R203" s="206"/>
      <c r="S203" s="207">
        <v>0</v>
      </c>
      <c r="T203" s="208">
        <v>0</v>
      </c>
      <c r="U203" s="103">
        <v>82.109899999999996</v>
      </c>
      <c r="V203" s="79">
        <f t="shared" ref="V203" si="304">TRUNC(U203*P203,2)</f>
        <v>0</v>
      </c>
      <c r="W203" s="135">
        <f t="shared" ref="W203" si="305">TRUNC(U203*P203*0.04,2)</f>
        <v>0</v>
      </c>
      <c r="X203" s="79">
        <f t="shared" ref="X203" si="306">TRUNC(U203*0.07*P203,2)</f>
        <v>0</v>
      </c>
      <c r="Y203" s="79">
        <f t="shared" ref="Y203" si="307">S203</f>
        <v>0</v>
      </c>
      <c r="Z203" s="79">
        <f t="shared" ref="Z203" si="308">TRUNC(X203+W203+(IF(Y203&gt;519,519,Y203))+IF(R203=0,0,R203*U203),2)</f>
        <v>0</v>
      </c>
      <c r="AA203" s="79">
        <f t="shared" ref="AA203" si="309">TRUNC((IF(R203=0,P203*U203,(P203-R203)*U203))+(IF(Y203&lt;519,0,Y203-519)),2)+T203</f>
        <v>0</v>
      </c>
      <c r="AB203" s="79">
        <f t="shared" ref="AB203" si="310">Z203+AA203</f>
        <v>0</v>
      </c>
      <c r="AC203" s="79"/>
      <c r="AD203" s="79"/>
      <c r="AE203" s="79">
        <v>0</v>
      </c>
      <c r="AF203" s="80" t="e">
        <f t="shared" ref="AF203" si="311">IF(U203&gt;0.01,(AA203-VLOOKUP(AA203,quincenal,1))*VLOOKUP(AA203,quincenal,3)+VLOOKUP(AA203,quincenal,2)-VLOOKUP(AA203,subquincenal,2),0)</f>
        <v>#N/A</v>
      </c>
      <c r="AG203" s="79"/>
      <c r="AH203" s="136"/>
      <c r="AI203" s="136">
        <f t="shared" ref="AI203" si="312">AB203-AD203-AE203-AG203+AH203</f>
        <v>0</v>
      </c>
      <c r="AJ203" s="132"/>
      <c r="AK203" s="40">
        <v>155</v>
      </c>
      <c r="AM203" s="87"/>
    </row>
    <row r="204" spans="1:39" s="40" customFormat="1" ht="36" customHeight="1">
      <c r="A204" s="100">
        <f t="shared" si="303"/>
        <v>103</v>
      </c>
      <c r="B204" s="155"/>
      <c r="C204" s="155"/>
      <c r="D204" s="61" t="s">
        <v>504</v>
      </c>
      <c r="E204" s="140" t="s">
        <v>305</v>
      </c>
      <c r="F204" s="140" t="s">
        <v>306</v>
      </c>
      <c r="G204" s="141">
        <v>38025</v>
      </c>
      <c r="H204" s="98" t="s">
        <v>49</v>
      </c>
      <c r="I204" s="98"/>
      <c r="J204" s="98"/>
      <c r="K204" s="98"/>
      <c r="L204" s="98"/>
      <c r="M204" s="98"/>
      <c r="N204" s="98"/>
      <c r="O204" s="98"/>
      <c r="P204" s="127">
        <v>15</v>
      </c>
      <c r="Q204" s="127" t="s">
        <v>209</v>
      </c>
      <c r="R204" s="127"/>
      <c r="S204" s="132">
        <v>0</v>
      </c>
      <c r="T204" s="133">
        <v>0</v>
      </c>
      <c r="U204" s="76">
        <v>62.989989999999999</v>
      </c>
      <c r="V204" s="79">
        <f t="shared" ref="V204" si="313">TRUNC(U204*P204,2)</f>
        <v>944.84</v>
      </c>
      <c r="W204" s="135">
        <f t="shared" ref="W204" si="314">TRUNC(U204*P204*0.04,2)</f>
        <v>37.79</v>
      </c>
      <c r="X204" s="79">
        <f t="shared" ref="X204" si="315">TRUNC(U204*0.07*P204,2)</f>
        <v>66.13</v>
      </c>
      <c r="Y204" s="79">
        <f t="shared" ref="Y204" si="316">S204</f>
        <v>0</v>
      </c>
      <c r="Z204" s="79">
        <f t="shared" ref="Z204" si="317">TRUNC(X204+W204+(IF(Y204&gt;519,519,Y204))+IF(R204=0,0,R204*U204),2)</f>
        <v>103.92</v>
      </c>
      <c r="AA204" s="79">
        <f t="shared" ref="AA204" si="318">TRUNC((IF(R204=0,P204*U204,(P204-R204)*U204))+(IF(Y204&lt;519,0,Y204-519)),2)+T204</f>
        <v>944.84</v>
      </c>
      <c r="AB204" s="79">
        <f t="shared" ref="AB204" si="319">Z204+AA204</f>
        <v>1048.76</v>
      </c>
      <c r="AC204" s="79"/>
      <c r="AD204" s="79"/>
      <c r="AE204" s="79">
        <v>0</v>
      </c>
      <c r="AF204" s="80">
        <f t="shared" ref="AF204" si="320">IF(U204&gt;0.01,(AA204-VLOOKUP(AA204,quincenal,1))*VLOOKUP(AA204,quincenal,3)+VLOOKUP(AA204,quincenal,2)-VLOOKUP(AA204,subquincenal,2),0)</f>
        <v>-151.24807999999999</v>
      </c>
      <c r="AG204" s="79">
        <f t="shared" ref="AG204" si="321">TRUNC(IF(AF204&gt;0.01,AF204,0),2)</f>
        <v>0</v>
      </c>
      <c r="AH204" s="136">
        <f t="shared" ref="AH204" si="322">TRUNC(IF(AF204&lt;0.01,-AF204,0),2)</f>
        <v>151.24</v>
      </c>
      <c r="AI204" s="136">
        <f t="shared" ref="AI204" si="323">AB204-AD204-AE204-AG204+AH204</f>
        <v>1200</v>
      </c>
      <c r="AJ204" s="132"/>
      <c r="AK204" s="40">
        <v>158</v>
      </c>
      <c r="AM204" s="87"/>
    </row>
    <row r="205" spans="1:39" s="40" customFormat="1" ht="12.75">
      <c r="A205" s="100">
        <f t="shared" si="303"/>
        <v>104</v>
      </c>
      <c r="B205" s="147"/>
      <c r="C205" s="147"/>
      <c r="D205" s="91" t="s">
        <v>46</v>
      </c>
      <c r="E205" s="43"/>
      <c r="F205" s="43"/>
      <c r="G205" s="44"/>
      <c r="H205" s="92"/>
      <c r="I205" s="92"/>
      <c r="J205" s="92"/>
      <c r="K205" s="92"/>
      <c r="L205" s="92"/>
      <c r="M205" s="92"/>
      <c r="N205" s="92"/>
      <c r="O205" s="92"/>
      <c r="P205" s="49"/>
      <c r="Q205" s="49"/>
      <c r="R205" s="49"/>
      <c r="S205" s="50"/>
      <c r="T205" s="51"/>
      <c r="U205" s="93"/>
      <c r="V205" s="94">
        <f>SUM(V200:V204)</f>
        <v>6120.34</v>
      </c>
      <c r="W205" s="94">
        <f t="shared" ref="W205:AJ205" si="324">SUM(W200:W204)</f>
        <v>244.81</v>
      </c>
      <c r="X205" s="94">
        <f t="shared" si="324"/>
        <v>428.40999999999997</v>
      </c>
      <c r="Y205" s="94">
        <f t="shared" si="324"/>
        <v>0</v>
      </c>
      <c r="Z205" s="94">
        <f t="shared" si="324"/>
        <v>673.22</v>
      </c>
      <c r="AA205" s="94">
        <f t="shared" si="324"/>
        <v>6120.34</v>
      </c>
      <c r="AB205" s="94">
        <f t="shared" si="324"/>
        <v>6793.56</v>
      </c>
      <c r="AC205" s="94">
        <f t="shared" si="324"/>
        <v>0</v>
      </c>
      <c r="AD205" s="94">
        <f t="shared" si="324"/>
        <v>0</v>
      </c>
      <c r="AE205" s="94">
        <f t="shared" si="324"/>
        <v>0</v>
      </c>
      <c r="AF205" s="94" t="e">
        <f t="shared" si="324"/>
        <v>#N/A</v>
      </c>
      <c r="AG205" s="94">
        <f t="shared" si="324"/>
        <v>140.46</v>
      </c>
      <c r="AH205" s="94">
        <f t="shared" si="324"/>
        <v>237.16000000000003</v>
      </c>
      <c r="AI205" s="94">
        <f t="shared" si="324"/>
        <v>6890.26</v>
      </c>
      <c r="AJ205" s="94">
        <f t="shared" si="324"/>
        <v>0</v>
      </c>
    </row>
    <row r="206" spans="1:39" s="40" customFormat="1" ht="12.75">
      <c r="A206" s="100"/>
      <c r="B206" s="147"/>
      <c r="C206" s="147"/>
      <c r="D206" s="91"/>
      <c r="E206" s="43"/>
      <c r="F206" s="43"/>
      <c r="G206" s="44"/>
      <c r="H206" s="92"/>
      <c r="I206" s="92"/>
      <c r="J206" s="92"/>
      <c r="K206" s="92"/>
      <c r="L206" s="92"/>
      <c r="M206" s="92"/>
      <c r="N206" s="92"/>
      <c r="O206" s="92"/>
      <c r="P206" s="49"/>
      <c r="Q206" s="49"/>
      <c r="R206" s="49"/>
      <c r="S206" s="50"/>
      <c r="T206" s="51"/>
      <c r="U206" s="93"/>
      <c r="V206" s="94"/>
      <c r="W206" s="94"/>
      <c r="X206" s="94"/>
      <c r="Y206" s="94"/>
      <c r="Z206" s="94"/>
      <c r="AA206" s="94"/>
      <c r="AB206" s="94"/>
      <c r="AC206" s="94"/>
      <c r="AD206" s="86"/>
      <c r="AE206" s="86"/>
      <c r="AF206" s="94"/>
      <c r="AG206" s="94"/>
      <c r="AH206" s="94"/>
      <c r="AI206" s="94"/>
      <c r="AJ206" s="50"/>
    </row>
    <row r="207" spans="1:39" s="40" customFormat="1">
      <c r="A207" s="100"/>
      <c r="B207" s="147"/>
      <c r="C207" s="147"/>
      <c r="D207" s="122"/>
      <c r="E207" s="43"/>
      <c r="F207" s="43"/>
      <c r="G207" s="44"/>
      <c r="H207" s="92"/>
      <c r="I207" s="92"/>
      <c r="J207" s="92"/>
      <c r="K207" s="92"/>
      <c r="L207" s="92"/>
      <c r="M207" s="92"/>
      <c r="N207" s="92"/>
      <c r="O207" s="92"/>
      <c r="P207" s="49"/>
      <c r="Q207" s="49"/>
      <c r="R207" s="49"/>
      <c r="S207" s="50"/>
      <c r="T207" s="51"/>
      <c r="U207" s="93"/>
      <c r="V207" s="94"/>
      <c r="W207" s="94"/>
      <c r="X207" s="94"/>
      <c r="Y207" s="94"/>
      <c r="Z207" s="94"/>
      <c r="AA207" s="94"/>
      <c r="AB207" s="94"/>
      <c r="AC207" s="94"/>
      <c r="AD207" s="86"/>
      <c r="AE207" s="86"/>
      <c r="AF207" s="94"/>
      <c r="AG207" s="94"/>
      <c r="AH207" s="94"/>
      <c r="AI207" s="94"/>
      <c r="AJ207" s="50"/>
    </row>
    <row r="208" spans="1:39" s="40" customFormat="1">
      <c r="A208" s="100"/>
      <c r="B208" s="147"/>
      <c r="C208" s="147"/>
      <c r="D208" s="137"/>
      <c r="E208" s="43"/>
      <c r="F208" s="43"/>
      <c r="G208" s="44"/>
      <c r="H208" s="92"/>
      <c r="I208" s="92"/>
      <c r="J208" s="92"/>
      <c r="K208" s="92"/>
      <c r="L208" s="92"/>
      <c r="M208" s="92"/>
      <c r="N208" s="92"/>
      <c r="O208" s="92"/>
      <c r="P208" s="49"/>
      <c r="Q208" s="49"/>
      <c r="R208" s="49"/>
      <c r="S208" s="50"/>
      <c r="T208" s="51"/>
      <c r="U208" s="93"/>
      <c r="V208" s="94">
        <f t="shared" ref="V208:AI208" si="325">V18+V24+V32+V37+V43+V48+V53+V60+V64+V71+V78+V85+V97+V107+V113+V117+V122+V129+V137+V143+V147+V152+V162+V166+V171+V177+V184+V190+V197+V205</f>
        <v>426506.18000000005</v>
      </c>
      <c r="W208" s="94">
        <f t="shared" si="325"/>
        <v>17060.21</v>
      </c>
      <c r="X208" s="94">
        <f t="shared" si="325"/>
        <v>29855.16</v>
      </c>
      <c r="Y208" s="94">
        <f t="shared" si="325"/>
        <v>0</v>
      </c>
      <c r="Z208" s="94">
        <f t="shared" si="325"/>
        <v>46915.37</v>
      </c>
      <c r="AA208" s="94">
        <f t="shared" si="325"/>
        <v>426506.18000000005</v>
      </c>
      <c r="AB208" s="94">
        <f t="shared" si="325"/>
        <v>473421.55</v>
      </c>
      <c r="AC208" s="94">
        <f t="shared" si="325"/>
        <v>0</v>
      </c>
      <c r="AD208" s="94">
        <f t="shared" si="325"/>
        <v>10100</v>
      </c>
      <c r="AE208" s="94">
        <f t="shared" si="325"/>
        <v>0</v>
      </c>
      <c r="AF208" s="94" t="e">
        <f t="shared" si="325"/>
        <v>#N/A</v>
      </c>
      <c r="AG208" s="94">
        <f t="shared" si="325"/>
        <v>40663.950000000004</v>
      </c>
      <c r="AH208" s="94">
        <f t="shared" si="325"/>
        <v>1788.8600000000004</v>
      </c>
      <c r="AI208" s="94">
        <f t="shared" si="325"/>
        <v>424446.44999999995</v>
      </c>
      <c r="AJ208" s="50"/>
    </row>
    <row r="209" spans="1:39" s="40" customFormat="1">
      <c r="A209" s="100"/>
      <c r="B209" s="147"/>
      <c r="C209" s="147"/>
      <c r="D209" s="137"/>
      <c r="E209" s="43"/>
      <c r="F209" s="43"/>
      <c r="G209" s="44"/>
      <c r="H209" s="92"/>
      <c r="I209" s="92"/>
      <c r="J209" s="92"/>
      <c r="K209" s="92"/>
      <c r="L209" s="92"/>
      <c r="M209" s="92"/>
      <c r="N209" s="92"/>
      <c r="O209" s="92"/>
      <c r="P209" s="49"/>
      <c r="Q209" s="49"/>
      <c r="R209" s="49"/>
      <c r="S209" s="50"/>
      <c r="T209" s="51"/>
      <c r="U209" s="93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50"/>
    </row>
    <row r="210" spans="1:39" s="40" customFormat="1">
      <c r="A210" s="100"/>
      <c r="B210" s="147"/>
      <c r="C210" s="147"/>
      <c r="D210" s="122"/>
      <c r="E210" s="43"/>
      <c r="F210" s="43"/>
      <c r="G210" s="44"/>
      <c r="H210" s="92"/>
      <c r="I210" s="92"/>
      <c r="J210" s="92"/>
      <c r="K210" s="92"/>
      <c r="L210" s="92"/>
      <c r="M210" s="92"/>
      <c r="N210" s="92"/>
      <c r="O210" s="92"/>
      <c r="P210" s="49"/>
      <c r="Q210" s="49"/>
      <c r="R210" s="49"/>
      <c r="S210" s="50"/>
      <c r="T210" s="51"/>
      <c r="U210" s="93"/>
      <c r="V210" s="94"/>
      <c r="W210" s="94"/>
      <c r="X210" s="94"/>
      <c r="Y210" s="94"/>
      <c r="Z210" s="94"/>
      <c r="AA210" s="94"/>
      <c r="AB210" s="94"/>
      <c r="AC210" s="94"/>
      <c r="AD210" s="86"/>
      <c r="AE210" s="86"/>
      <c r="AF210" s="94"/>
      <c r="AG210" s="94"/>
      <c r="AH210" s="200"/>
      <c r="AI210" s="94"/>
      <c r="AJ210" s="50"/>
    </row>
    <row r="211" spans="1:39" s="40" customFormat="1">
      <c r="A211" s="100"/>
      <c r="B211" s="147"/>
      <c r="C211" s="147"/>
      <c r="D211" s="122"/>
      <c r="E211" s="43"/>
      <c r="F211" s="43"/>
      <c r="G211" s="44"/>
      <c r="H211" s="92"/>
      <c r="I211" s="92"/>
      <c r="J211" s="92"/>
      <c r="K211" s="92"/>
      <c r="L211" s="92"/>
      <c r="M211" s="92"/>
      <c r="N211" s="92"/>
      <c r="O211" s="92"/>
      <c r="P211" s="49"/>
      <c r="Q211" s="49"/>
      <c r="R211" s="49"/>
      <c r="S211" s="50"/>
      <c r="T211" s="51"/>
      <c r="U211" s="93"/>
      <c r="V211" s="94"/>
      <c r="W211" s="94"/>
      <c r="X211" s="94"/>
      <c r="Y211" s="94"/>
      <c r="Z211" s="94"/>
      <c r="AA211" s="94"/>
      <c r="AB211" s="94"/>
      <c r="AC211" s="94"/>
      <c r="AD211" s="86"/>
      <c r="AE211" s="86"/>
      <c r="AF211" s="94"/>
      <c r="AG211" s="94"/>
      <c r="AH211" s="200"/>
      <c r="AI211" s="94"/>
      <c r="AJ211" s="50"/>
    </row>
    <row r="212" spans="1:39" s="40" customFormat="1" ht="12.75">
      <c r="A212" s="100"/>
      <c r="B212" s="147"/>
      <c r="C212" s="147"/>
      <c r="D212" s="224" t="s">
        <v>428</v>
      </c>
      <c r="E212" s="224"/>
      <c r="F212" s="43"/>
      <c r="G212" s="44"/>
      <c r="H212" s="92"/>
      <c r="I212" s="92"/>
      <c r="J212" s="92"/>
      <c r="K212" s="92"/>
      <c r="L212" s="92"/>
      <c r="M212" s="92"/>
      <c r="N212" s="92"/>
      <c r="O212" s="92"/>
      <c r="P212" s="225" t="s">
        <v>429</v>
      </c>
      <c r="Q212" s="225"/>
      <c r="R212" s="225"/>
      <c r="S212" s="225"/>
      <c r="T212" s="225"/>
      <c r="U212" s="225"/>
      <c r="V212" s="225"/>
      <c r="W212" s="225"/>
      <c r="X212" s="225"/>
      <c r="Y212" s="94"/>
      <c r="Z212" s="94"/>
      <c r="AA212" s="94"/>
      <c r="AB212" s="94"/>
      <c r="AC212" s="94"/>
      <c r="AD212" s="86"/>
      <c r="AE212" s="86"/>
      <c r="AF212" s="94"/>
      <c r="AG212" s="94"/>
      <c r="AH212" s="219" t="s">
        <v>430</v>
      </c>
      <c r="AI212" s="219"/>
      <c r="AJ212" s="219"/>
    </row>
    <row r="213" spans="1:39" s="40" customFormat="1" ht="12.75">
      <c r="A213" s="100"/>
      <c r="B213" s="147"/>
      <c r="C213" s="147"/>
      <c r="D213" s="222" t="s">
        <v>369</v>
      </c>
      <c r="E213" s="222"/>
      <c r="F213" s="43"/>
      <c r="G213" s="44"/>
      <c r="H213" s="92"/>
      <c r="I213" s="92"/>
      <c r="J213" s="92"/>
      <c r="K213" s="92"/>
      <c r="L213" s="92"/>
      <c r="M213" s="92"/>
      <c r="N213" s="92"/>
      <c r="O213" s="92"/>
      <c r="P213" s="223" t="s">
        <v>23</v>
      </c>
      <c r="Q213" s="223"/>
      <c r="R213" s="223"/>
      <c r="S213" s="223"/>
      <c r="T213" s="223"/>
      <c r="U213" s="223"/>
      <c r="V213" s="223"/>
      <c r="W213" s="223"/>
      <c r="X213" s="223"/>
      <c r="Y213" s="94"/>
      <c r="Z213" s="94"/>
      <c r="AA213" s="94"/>
      <c r="AB213" s="94"/>
      <c r="AC213" s="94"/>
      <c r="AD213" s="86"/>
      <c r="AE213" s="86"/>
      <c r="AF213" s="94"/>
      <c r="AG213" s="94"/>
      <c r="AH213" s="220" t="s">
        <v>129</v>
      </c>
      <c r="AI213" s="220"/>
      <c r="AJ213" s="220"/>
    </row>
    <row r="214" spans="1:39" s="40" customFormat="1" ht="14.25" customHeight="1">
      <c r="A214" s="100"/>
      <c r="B214" s="147"/>
      <c r="C214" s="147"/>
      <c r="D214" s="122"/>
      <c r="E214" s="43"/>
      <c r="F214" s="43"/>
      <c r="G214" s="44"/>
      <c r="H214" s="92"/>
      <c r="I214" s="92"/>
      <c r="J214" s="92"/>
      <c r="K214" s="92"/>
      <c r="L214" s="92"/>
      <c r="M214" s="92"/>
      <c r="N214" s="92"/>
      <c r="O214" s="92"/>
      <c r="P214" s="49"/>
      <c r="Q214" s="49"/>
      <c r="R214" s="49"/>
      <c r="S214" s="50"/>
      <c r="T214" s="51"/>
      <c r="U214" s="93"/>
      <c r="V214" s="94"/>
      <c r="W214" s="94"/>
      <c r="X214" s="94"/>
      <c r="Y214" s="94"/>
      <c r="Z214" s="94"/>
      <c r="AA214" s="94"/>
      <c r="AB214" s="94"/>
      <c r="AC214" s="94"/>
      <c r="AD214" s="86"/>
      <c r="AE214" s="86"/>
      <c r="AF214" s="94"/>
      <c r="AG214" s="94"/>
      <c r="AH214" s="94"/>
      <c r="AI214" s="94"/>
      <c r="AJ214" s="50"/>
    </row>
    <row r="215" spans="1:39" s="40" customFormat="1" ht="14.25" customHeight="1">
      <c r="A215" s="100"/>
      <c r="B215" s="147"/>
      <c r="C215" s="147"/>
      <c r="D215" s="122"/>
      <c r="E215" s="43"/>
      <c r="F215" s="43"/>
      <c r="G215" s="44"/>
      <c r="H215" s="92"/>
      <c r="I215" s="92"/>
      <c r="J215" s="92"/>
      <c r="K215" s="92"/>
      <c r="L215" s="92"/>
      <c r="M215" s="92"/>
      <c r="N215" s="92"/>
      <c r="O215" s="92"/>
      <c r="P215" s="49"/>
      <c r="Q215" s="49"/>
      <c r="R215" s="49"/>
      <c r="S215" s="50"/>
      <c r="T215" s="51"/>
      <c r="U215" s="93"/>
      <c r="V215" s="94"/>
      <c r="W215" s="94"/>
      <c r="X215" s="94"/>
      <c r="Y215" s="94"/>
      <c r="Z215" s="94"/>
      <c r="AA215" s="94"/>
      <c r="AB215" s="94"/>
      <c r="AC215" s="94"/>
      <c r="AD215" s="86"/>
      <c r="AE215" s="86"/>
      <c r="AF215" s="94"/>
      <c r="AG215" s="94"/>
      <c r="AH215" s="94"/>
      <c r="AI215" s="94"/>
      <c r="AJ215" s="50"/>
    </row>
    <row r="216" spans="1:39" s="40" customFormat="1">
      <c r="A216" s="100"/>
      <c r="B216" s="147"/>
      <c r="C216" s="147"/>
      <c r="D216" s="122"/>
      <c r="E216" s="43"/>
      <c r="F216" s="43"/>
      <c r="G216" s="44"/>
      <c r="H216" s="92"/>
      <c r="I216" s="92"/>
      <c r="J216" s="92"/>
      <c r="K216" s="92"/>
      <c r="L216" s="92"/>
      <c r="M216" s="92"/>
      <c r="N216" s="92"/>
      <c r="O216" s="92"/>
      <c r="P216" s="49"/>
      <c r="Q216" s="49"/>
      <c r="R216" s="49"/>
      <c r="S216" s="50"/>
      <c r="T216" s="51"/>
      <c r="U216" s="93"/>
      <c r="V216" s="94"/>
      <c r="W216" s="94"/>
      <c r="X216" s="94"/>
      <c r="Y216" s="94"/>
      <c r="Z216" s="94"/>
      <c r="AA216" s="94"/>
      <c r="AB216" s="94"/>
      <c r="AC216" s="94"/>
      <c r="AD216" s="86"/>
      <c r="AE216" s="86"/>
      <c r="AF216" s="94"/>
      <c r="AG216" s="94"/>
      <c r="AH216" s="94"/>
      <c r="AI216" s="94"/>
      <c r="AJ216" s="50"/>
    </row>
    <row r="217" spans="1:39" s="40" customFormat="1" ht="15.75">
      <c r="A217" s="100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</row>
    <row r="218" spans="1:39" s="40" customFormat="1" ht="12.75">
      <c r="A218" s="10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</row>
    <row r="219" spans="1:39" s="40" customFormat="1" ht="12.75">
      <c r="A219" s="100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</row>
    <row r="220" spans="1:39" s="40" customFormat="1">
      <c r="A220" s="100"/>
      <c r="B220" s="101"/>
      <c r="D220" s="122"/>
      <c r="E220" s="43"/>
      <c r="F220" s="43"/>
      <c r="G220" s="193"/>
      <c r="H220" s="92"/>
      <c r="I220" s="92"/>
      <c r="J220" s="92"/>
      <c r="K220" s="92"/>
      <c r="L220" s="92"/>
      <c r="M220" s="92"/>
      <c r="N220" s="92"/>
      <c r="O220" s="92"/>
      <c r="P220" s="194"/>
      <c r="Q220" s="194"/>
      <c r="W220" s="148"/>
      <c r="X220" s="83"/>
      <c r="Y220" s="139"/>
      <c r="Z220" s="83"/>
      <c r="AA220" s="83"/>
      <c r="AB220" s="83"/>
      <c r="AC220" s="83"/>
      <c r="AD220" s="83"/>
      <c r="AE220" s="83"/>
      <c r="AF220" s="87"/>
      <c r="AG220" s="83"/>
      <c r="AH220" s="149"/>
      <c r="AI220" s="149"/>
    </row>
    <row r="221" spans="1:39" s="40" customFormat="1" ht="12.75">
      <c r="A221" s="100"/>
      <c r="B221" s="147"/>
      <c r="C221" s="147"/>
      <c r="D221" s="91" t="s">
        <v>238</v>
      </c>
      <c r="E221" s="216"/>
      <c r="F221" s="216"/>
      <c r="G221" s="44"/>
      <c r="H221" s="92"/>
      <c r="I221" s="92"/>
      <c r="J221" s="92"/>
      <c r="K221" s="92"/>
      <c r="L221" s="92"/>
      <c r="M221" s="92"/>
      <c r="N221" s="92"/>
      <c r="O221" s="92"/>
      <c r="P221" s="49"/>
      <c r="Q221" s="49"/>
      <c r="R221" s="49"/>
      <c r="S221" s="50"/>
      <c r="T221" s="51"/>
      <c r="U221" s="93"/>
      <c r="V221" s="83"/>
      <c r="W221" s="148"/>
      <c r="X221" s="83"/>
      <c r="Y221" s="139"/>
      <c r="Z221" s="83"/>
      <c r="AA221" s="83"/>
      <c r="AB221" s="83"/>
      <c r="AC221" s="83"/>
      <c r="AD221" s="83"/>
      <c r="AE221" s="83"/>
      <c r="AF221" s="87"/>
      <c r="AG221" s="83"/>
      <c r="AH221" s="149"/>
      <c r="AI221" s="149"/>
      <c r="AJ221" s="50"/>
    </row>
    <row r="222" spans="1:39" s="40" customFormat="1" ht="36" customHeight="1">
      <c r="A222" s="100">
        <f>A204+1</f>
        <v>104</v>
      </c>
      <c r="B222" s="68"/>
      <c r="C222" s="68"/>
      <c r="D222" s="61" t="s">
        <v>476</v>
      </c>
      <c r="E222" s="62"/>
      <c r="F222" s="62"/>
      <c r="G222" s="63"/>
      <c r="H222" s="64" t="s">
        <v>101</v>
      </c>
      <c r="I222" s="64"/>
      <c r="J222" s="64"/>
      <c r="K222" s="64"/>
      <c r="L222" s="64"/>
      <c r="M222" s="64"/>
      <c r="N222" s="64"/>
      <c r="O222" s="64"/>
      <c r="P222" s="69">
        <v>15</v>
      </c>
      <c r="Q222" s="69" t="s">
        <v>209</v>
      </c>
      <c r="R222" s="69"/>
      <c r="S222" s="70">
        <v>0</v>
      </c>
      <c r="T222" s="71">
        <v>0</v>
      </c>
      <c r="U222" s="76">
        <f t="shared" ref="U222:U230" si="326">6845/30</f>
        <v>228.16666666666666</v>
      </c>
      <c r="V222" s="77">
        <f t="shared" ref="V222:V253" si="327">TRUNC(U222*P222,2)</f>
        <v>3422.5</v>
      </c>
      <c r="W222" s="78">
        <f t="shared" ref="W222:W253" si="328">TRUNC(U222*P222*0.04,2)</f>
        <v>136.9</v>
      </c>
      <c r="X222" s="77">
        <f t="shared" ref="X222:X253" si="329">TRUNC(U222*0.07*P222,2)</f>
        <v>239.57</v>
      </c>
      <c r="Y222" s="79">
        <f t="shared" ref="Y222:Y253" si="330">S222</f>
        <v>0</v>
      </c>
      <c r="Z222" s="77">
        <f t="shared" ref="Z222:Z253" si="331">TRUNC(X222+W222+(IF(Y222&gt;519,519,Y222))+IF(R222=0,0,R222*U222),2)</f>
        <v>376.47</v>
      </c>
      <c r="AA222" s="77">
        <f t="shared" ref="AA222:AA253" si="332">TRUNC((IF(R222=0,P222*U222,(P222-R222)*U222))+(IF(Y222&lt;519,0,Y222-519)),2)+T222</f>
        <v>3422.5</v>
      </c>
      <c r="AB222" s="77">
        <f t="shared" ref="AB222:AB253" si="333">Z222+AA222</f>
        <v>3798.9700000000003</v>
      </c>
      <c r="AC222" s="77"/>
      <c r="AD222" s="77">
        <v>0</v>
      </c>
      <c r="AE222" s="77">
        <v>0</v>
      </c>
      <c r="AF222" s="80">
        <f t="shared" ref="AF222:AF253" si="334">IF(U222&gt;0.01,(AA222-VLOOKUP(AA222,quincenal,1))*VLOOKUP(AA222,quincenal,3)+VLOOKUP(AA222,quincenal,2)-VLOOKUP(AA222,subquincenal,2),0)</f>
        <v>143.18491199999997</v>
      </c>
      <c r="AG222" s="77">
        <f t="shared" ref="AG222:AG253" si="335">TRUNC(IF(AF222&gt;0.01,AF222,0),2)</f>
        <v>143.18</v>
      </c>
      <c r="AH222" s="81">
        <f t="shared" ref="AH222:AH253" si="336">TRUNC(IF(AF222&lt;0.01,-AF222,0),2)</f>
        <v>0</v>
      </c>
      <c r="AI222" s="81">
        <f t="shared" ref="AI222:AI253" si="337">AB222-AD222-AE222-AG222+AH222</f>
        <v>3655.7900000000004</v>
      </c>
      <c r="AJ222" s="70"/>
      <c r="AK222" s="40">
        <v>1</v>
      </c>
      <c r="AM222" s="87"/>
    </row>
    <row r="223" spans="1:39" s="40" customFormat="1" ht="36" customHeight="1">
      <c r="A223" s="100">
        <f>A222+1</f>
        <v>105</v>
      </c>
      <c r="B223" s="157">
        <v>11</v>
      </c>
      <c r="C223" s="157">
        <v>17</v>
      </c>
      <c r="D223" s="61" t="s">
        <v>242</v>
      </c>
      <c r="E223" s="140" t="s">
        <v>283</v>
      </c>
      <c r="F223" s="140" t="s">
        <v>284</v>
      </c>
      <c r="G223" s="63"/>
      <c r="H223" s="64" t="s">
        <v>101</v>
      </c>
      <c r="I223" s="64"/>
      <c r="J223" s="64"/>
      <c r="K223" s="64"/>
      <c r="L223" s="64"/>
      <c r="M223" s="64"/>
      <c r="N223" s="64"/>
      <c r="O223" s="64"/>
      <c r="P223" s="152">
        <v>15</v>
      </c>
      <c r="Q223" s="159" t="s">
        <v>209</v>
      </c>
      <c r="R223" s="157"/>
      <c r="S223" s="157">
        <v>0</v>
      </c>
      <c r="T223" s="71">
        <v>0</v>
      </c>
      <c r="U223" s="76">
        <f t="shared" si="326"/>
        <v>228.16666666666666</v>
      </c>
      <c r="V223" s="77">
        <f t="shared" si="327"/>
        <v>3422.5</v>
      </c>
      <c r="W223" s="78">
        <f t="shared" si="328"/>
        <v>136.9</v>
      </c>
      <c r="X223" s="77">
        <f t="shared" si="329"/>
        <v>239.57</v>
      </c>
      <c r="Y223" s="79">
        <f t="shared" si="330"/>
        <v>0</v>
      </c>
      <c r="Z223" s="77">
        <f t="shared" si="331"/>
        <v>376.47</v>
      </c>
      <c r="AA223" s="77">
        <f t="shared" si="332"/>
        <v>3422.5</v>
      </c>
      <c r="AB223" s="77">
        <f t="shared" si="333"/>
        <v>3798.9700000000003</v>
      </c>
      <c r="AC223" s="77"/>
      <c r="AD223" s="77"/>
      <c r="AE223" s="77">
        <v>0</v>
      </c>
      <c r="AF223" s="80">
        <f t="shared" si="334"/>
        <v>143.18491199999997</v>
      </c>
      <c r="AG223" s="77">
        <f t="shared" si="335"/>
        <v>143.18</v>
      </c>
      <c r="AH223" s="81">
        <f t="shared" si="336"/>
        <v>0</v>
      </c>
      <c r="AI223" s="81">
        <f t="shared" si="337"/>
        <v>3655.7900000000004</v>
      </c>
      <c r="AJ223" s="70"/>
      <c r="AK223" s="40">
        <f>AK222+1</f>
        <v>2</v>
      </c>
      <c r="AM223" s="87"/>
    </row>
    <row r="224" spans="1:39" s="40" customFormat="1" ht="36" customHeight="1">
      <c r="A224" s="100">
        <f>A223+1</f>
        <v>106</v>
      </c>
      <c r="B224" s="68" t="s">
        <v>90</v>
      </c>
      <c r="C224" s="68" t="s">
        <v>99</v>
      </c>
      <c r="D224" s="61" t="s">
        <v>363</v>
      </c>
      <c r="E224" s="140" t="s">
        <v>285</v>
      </c>
      <c r="F224" s="140" t="s">
        <v>286</v>
      </c>
      <c r="G224" s="63"/>
      <c r="H224" s="64" t="s">
        <v>103</v>
      </c>
      <c r="I224" s="64"/>
      <c r="J224" s="64"/>
      <c r="K224" s="64"/>
      <c r="L224" s="64"/>
      <c r="M224" s="64"/>
      <c r="N224" s="64"/>
      <c r="O224" s="64"/>
      <c r="P224" s="152">
        <v>15</v>
      </c>
      <c r="Q224" s="159" t="s">
        <v>209</v>
      </c>
      <c r="R224" s="157"/>
      <c r="S224" s="157">
        <v>0</v>
      </c>
      <c r="T224" s="71">
        <v>0</v>
      </c>
      <c r="U224" s="76">
        <f t="shared" si="326"/>
        <v>228.16666666666666</v>
      </c>
      <c r="V224" s="77">
        <f t="shared" si="327"/>
        <v>3422.5</v>
      </c>
      <c r="W224" s="78">
        <f t="shared" si="328"/>
        <v>136.9</v>
      </c>
      <c r="X224" s="77">
        <f t="shared" si="329"/>
        <v>239.57</v>
      </c>
      <c r="Y224" s="79">
        <f t="shared" si="330"/>
        <v>0</v>
      </c>
      <c r="Z224" s="77">
        <f t="shared" si="331"/>
        <v>376.47</v>
      </c>
      <c r="AA224" s="77">
        <f t="shared" si="332"/>
        <v>3422.5</v>
      </c>
      <c r="AB224" s="77">
        <f t="shared" si="333"/>
        <v>3798.9700000000003</v>
      </c>
      <c r="AC224" s="77"/>
      <c r="AD224" s="77"/>
      <c r="AE224" s="77">
        <v>0</v>
      </c>
      <c r="AF224" s="80">
        <f t="shared" si="334"/>
        <v>143.18491199999997</v>
      </c>
      <c r="AG224" s="77">
        <f t="shared" si="335"/>
        <v>143.18</v>
      </c>
      <c r="AH224" s="81">
        <f t="shared" si="336"/>
        <v>0</v>
      </c>
      <c r="AI224" s="81">
        <f t="shared" si="337"/>
        <v>3655.7900000000004</v>
      </c>
      <c r="AJ224" s="70"/>
      <c r="AK224" s="40">
        <f>AK223+1</f>
        <v>3</v>
      </c>
      <c r="AM224" s="87"/>
    </row>
    <row r="225" spans="1:39" s="40" customFormat="1" ht="36" customHeight="1">
      <c r="A225" s="100">
        <f t="shared" ref="A225:A253" si="338">A224+1</f>
        <v>107</v>
      </c>
      <c r="B225" s="157">
        <v>11</v>
      </c>
      <c r="C225" s="157">
        <v>17</v>
      </c>
      <c r="D225" s="61" t="s">
        <v>206</v>
      </c>
      <c r="E225" s="97" t="s">
        <v>320</v>
      </c>
      <c r="F225" s="97" t="s">
        <v>321</v>
      </c>
      <c r="G225" s="63"/>
      <c r="H225" s="64" t="s">
        <v>101</v>
      </c>
      <c r="I225" s="64"/>
      <c r="J225" s="64"/>
      <c r="K225" s="64"/>
      <c r="L225" s="64"/>
      <c r="M225" s="64"/>
      <c r="N225" s="64"/>
      <c r="O225" s="64"/>
      <c r="P225" s="69">
        <v>15</v>
      </c>
      <c r="Q225" s="69" t="s">
        <v>209</v>
      </c>
      <c r="R225" s="69"/>
      <c r="S225" s="70">
        <v>0</v>
      </c>
      <c r="T225" s="71">
        <v>0</v>
      </c>
      <c r="U225" s="76">
        <f t="shared" si="326"/>
        <v>228.16666666666666</v>
      </c>
      <c r="V225" s="77">
        <f t="shared" si="327"/>
        <v>3422.5</v>
      </c>
      <c r="W225" s="78">
        <f t="shared" si="328"/>
        <v>136.9</v>
      </c>
      <c r="X225" s="77">
        <f t="shared" si="329"/>
        <v>239.57</v>
      </c>
      <c r="Y225" s="79">
        <f t="shared" si="330"/>
        <v>0</v>
      </c>
      <c r="Z225" s="77">
        <f t="shared" si="331"/>
        <v>376.47</v>
      </c>
      <c r="AA225" s="77">
        <f t="shared" si="332"/>
        <v>3422.5</v>
      </c>
      <c r="AB225" s="77">
        <f t="shared" si="333"/>
        <v>3798.9700000000003</v>
      </c>
      <c r="AC225" s="77"/>
      <c r="AD225" s="77"/>
      <c r="AE225" s="77">
        <v>0</v>
      </c>
      <c r="AF225" s="80">
        <f t="shared" si="334"/>
        <v>143.18491199999997</v>
      </c>
      <c r="AG225" s="77">
        <f t="shared" si="335"/>
        <v>143.18</v>
      </c>
      <c r="AH225" s="81">
        <f t="shared" si="336"/>
        <v>0</v>
      </c>
      <c r="AI225" s="81">
        <f t="shared" si="337"/>
        <v>3655.7900000000004</v>
      </c>
      <c r="AJ225" s="70"/>
      <c r="AK225" s="40">
        <f t="shared" ref="AK225:AK253" si="339">AK224+1</f>
        <v>4</v>
      </c>
      <c r="AM225" s="87"/>
    </row>
    <row r="226" spans="1:39" s="40" customFormat="1" ht="36" customHeight="1">
      <c r="A226" s="100">
        <f t="shared" si="338"/>
        <v>108</v>
      </c>
      <c r="B226" s="68" t="s">
        <v>90</v>
      </c>
      <c r="C226" s="68" t="s">
        <v>99</v>
      </c>
      <c r="D226" s="61" t="s">
        <v>437</v>
      </c>
      <c r="E226" s="140"/>
      <c r="F226" s="140"/>
      <c r="G226" s="63"/>
      <c r="H226" s="64" t="s">
        <v>486</v>
      </c>
      <c r="I226" s="64"/>
      <c r="J226" s="64"/>
      <c r="K226" s="64"/>
      <c r="L226" s="64"/>
      <c r="M226" s="64"/>
      <c r="N226" s="64"/>
      <c r="O226" s="64"/>
      <c r="P226" s="69">
        <v>15</v>
      </c>
      <c r="Q226" s="69" t="s">
        <v>209</v>
      </c>
      <c r="R226" s="69"/>
      <c r="S226" s="70">
        <v>0</v>
      </c>
      <c r="T226" s="71">
        <v>0</v>
      </c>
      <c r="U226" s="76">
        <f t="shared" si="326"/>
        <v>228.16666666666666</v>
      </c>
      <c r="V226" s="77">
        <f t="shared" si="327"/>
        <v>3422.5</v>
      </c>
      <c r="W226" s="78">
        <f t="shared" si="328"/>
        <v>136.9</v>
      </c>
      <c r="X226" s="77">
        <f t="shared" si="329"/>
        <v>239.57</v>
      </c>
      <c r="Y226" s="79">
        <f t="shared" si="330"/>
        <v>0</v>
      </c>
      <c r="Z226" s="77">
        <f t="shared" si="331"/>
        <v>376.47</v>
      </c>
      <c r="AA226" s="77">
        <f t="shared" si="332"/>
        <v>3422.5</v>
      </c>
      <c r="AB226" s="77">
        <f t="shared" si="333"/>
        <v>3798.9700000000003</v>
      </c>
      <c r="AC226" s="77"/>
      <c r="AD226" s="77">
        <v>0</v>
      </c>
      <c r="AE226" s="77">
        <v>0</v>
      </c>
      <c r="AF226" s="80">
        <f t="shared" si="334"/>
        <v>143.18491199999997</v>
      </c>
      <c r="AG226" s="77">
        <f t="shared" si="335"/>
        <v>143.18</v>
      </c>
      <c r="AH226" s="81">
        <f t="shared" si="336"/>
        <v>0</v>
      </c>
      <c r="AI226" s="81">
        <f t="shared" si="337"/>
        <v>3655.7900000000004</v>
      </c>
      <c r="AJ226" s="70"/>
      <c r="AK226" s="40">
        <f t="shared" si="339"/>
        <v>5</v>
      </c>
      <c r="AM226" s="87"/>
    </row>
    <row r="227" spans="1:39" s="40" customFormat="1" ht="36" customHeight="1">
      <c r="A227" s="100">
        <f t="shared" si="338"/>
        <v>109</v>
      </c>
      <c r="B227" s="68"/>
      <c r="C227" s="68"/>
      <c r="D227" s="61" t="s">
        <v>489</v>
      </c>
      <c r="E227" s="62"/>
      <c r="F227" s="62"/>
      <c r="G227" s="63"/>
      <c r="H227" s="64" t="s">
        <v>101</v>
      </c>
      <c r="I227" s="64"/>
      <c r="J227" s="64"/>
      <c r="K227" s="64"/>
      <c r="L227" s="64"/>
      <c r="M227" s="64"/>
      <c r="N227" s="64"/>
      <c r="O227" s="64"/>
      <c r="P227" s="69">
        <v>15</v>
      </c>
      <c r="Q227" s="69" t="s">
        <v>209</v>
      </c>
      <c r="R227" s="69"/>
      <c r="S227" s="70">
        <v>0</v>
      </c>
      <c r="T227" s="71">
        <v>0</v>
      </c>
      <c r="U227" s="76">
        <f t="shared" si="326"/>
        <v>228.16666666666666</v>
      </c>
      <c r="V227" s="77">
        <f t="shared" si="327"/>
        <v>3422.5</v>
      </c>
      <c r="W227" s="78">
        <f t="shared" si="328"/>
        <v>136.9</v>
      </c>
      <c r="X227" s="77">
        <f t="shared" si="329"/>
        <v>239.57</v>
      </c>
      <c r="Y227" s="79">
        <f t="shared" si="330"/>
        <v>0</v>
      </c>
      <c r="Z227" s="77">
        <f t="shared" si="331"/>
        <v>376.47</v>
      </c>
      <c r="AA227" s="77">
        <f t="shared" si="332"/>
        <v>3422.5</v>
      </c>
      <c r="AB227" s="77">
        <f t="shared" si="333"/>
        <v>3798.9700000000003</v>
      </c>
      <c r="AC227" s="77"/>
      <c r="AD227" s="77">
        <v>0</v>
      </c>
      <c r="AE227" s="77">
        <v>0</v>
      </c>
      <c r="AF227" s="80">
        <f t="shared" si="334"/>
        <v>143.18491199999997</v>
      </c>
      <c r="AG227" s="77">
        <f t="shared" si="335"/>
        <v>143.18</v>
      </c>
      <c r="AH227" s="81">
        <f t="shared" si="336"/>
        <v>0</v>
      </c>
      <c r="AI227" s="81">
        <f t="shared" si="337"/>
        <v>3655.7900000000004</v>
      </c>
      <c r="AJ227" s="70"/>
      <c r="AK227" s="40">
        <f t="shared" si="339"/>
        <v>6</v>
      </c>
      <c r="AM227" s="87"/>
    </row>
    <row r="228" spans="1:39" s="40" customFormat="1" ht="36" customHeight="1">
      <c r="A228" s="100">
        <f t="shared" si="338"/>
        <v>110</v>
      </c>
      <c r="B228" s="68"/>
      <c r="C228" s="68"/>
      <c r="D228" s="61" t="s">
        <v>506</v>
      </c>
      <c r="E228" s="140"/>
      <c r="F228" s="140"/>
      <c r="G228" s="63"/>
      <c r="H228" s="64" t="s">
        <v>101</v>
      </c>
      <c r="I228" s="64"/>
      <c r="J228" s="64"/>
      <c r="K228" s="64"/>
      <c r="L228" s="64"/>
      <c r="M228" s="64"/>
      <c r="N228" s="64"/>
      <c r="O228" s="64"/>
      <c r="P228" s="69">
        <v>15</v>
      </c>
      <c r="Q228" s="69" t="s">
        <v>209</v>
      </c>
      <c r="R228" s="69"/>
      <c r="S228" s="70">
        <v>0</v>
      </c>
      <c r="T228" s="71">
        <v>0</v>
      </c>
      <c r="U228" s="76">
        <f t="shared" si="326"/>
        <v>228.16666666666666</v>
      </c>
      <c r="V228" s="77">
        <f t="shared" ref="V228" si="340">TRUNC(U228*P228,2)</f>
        <v>3422.5</v>
      </c>
      <c r="W228" s="78">
        <f t="shared" ref="W228" si="341">TRUNC(U228*P228*0.04,2)</f>
        <v>136.9</v>
      </c>
      <c r="X228" s="77">
        <f t="shared" ref="X228" si="342">TRUNC(U228*0.07*P228,2)</f>
        <v>239.57</v>
      </c>
      <c r="Y228" s="79">
        <f t="shared" ref="Y228" si="343">S228</f>
        <v>0</v>
      </c>
      <c r="Z228" s="77">
        <f t="shared" ref="Z228" si="344">TRUNC(X228+W228+(IF(Y228&gt;519,519,Y228))+IF(R228=0,0,R228*U228),2)</f>
        <v>376.47</v>
      </c>
      <c r="AA228" s="77">
        <f t="shared" ref="AA228" si="345">TRUNC((IF(R228=0,P228*U228,(P228-R228)*U228))+(IF(Y228&lt;519,0,Y228-519)),2)+T228</f>
        <v>3422.5</v>
      </c>
      <c r="AB228" s="77">
        <f t="shared" ref="AB228" si="346">Z228+AA228</f>
        <v>3798.9700000000003</v>
      </c>
      <c r="AC228" s="77"/>
      <c r="AD228" s="77">
        <v>500</v>
      </c>
      <c r="AE228" s="77">
        <v>0</v>
      </c>
      <c r="AF228" s="80">
        <f t="shared" ref="AF228" si="347">IF(U228&gt;0.01,(AA228-VLOOKUP(AA228,quincenal,1))*VLOOKUP(AA228,quincenal,3)+VLOOKUP(AA228,quincenal,2)-VLOOKUP(AA228,subquincenal,2),0)</f>
        <v>143.18491199999997</v>
      </c>
      <c r="AG228" s="77">
        <f t="shared" ref="AG228" si="348">TRUNC(IF(AF228&gt;0.01,AF228,0),2)</f>
        <v>143.18</v>
      </c>
      <c r="AH228" s="81">
        <f t="shared" ref="AH228" si="349">TRUNC(IF(AF228&lt;0.01,-AF228,0),2)</f>
        <v>0</v>
      </c>
      <c r="AI228" s="81">
        <f t="shared" ref="AI228" si="350">AB228-AD228-AE228-AG228+AH228</f>
        <v>3155.7900000000004</v>
      </c>
      <c r="AJ228" s="70"/>
      <c r="AK228" s="40">
        <f t="shared" si="339"/>
        <v>7</v>
      </c>
      <c r="AM228" s="87"/>
    </row>
    <row r="229" spans="1:39" s="40" customFormat="1" ht="36" customHeight="1">
      <c r="A229" s="100">
        <f t="shared" si="338"/>
        <v>111</v>
      </c>
      <c r="B229" s="68"/>
      <c r="C229" s="68"/>
      <c r="D229" s="61" t="s">
        <v>498</v>
      </c>
      <c r="E229" s="62"/>
      <c r="F229" s="62"/>
      <c r="G229" s="63"/>
      <c r="H229" s="64" t="s">
        <v>101</v>
      </c>
      <c r="I229" s="64"/>
      <c r="J229" s="64"/>
      <c r="K229" s="64"/>
      <c r="L229" s="64"/>
      <c r="M229" s="64"/>
      <c r="N229" s="64"/>
      <c r="O229" s="64"/>
      <c r="P229" s="69">
        <v>15</v>
      </c>
      <c r="Q229" s="69" t="s">
        <v>209</v>
      </c>
      <c r="R229" s="69"/>
      <c r="S229" s="70">
        <v>0</v>
      </c>
      <c r="T229" s="71">
        <v>0</v>
      </c>
      <c r="U229" s="76">
        <f t="shared" si="326"/>
        <v>228.16666666666666</v>
      </c>
      <c r="V229" s="77">
        <f t="shared" si="327"/>
        <v>3422.5</v>
      </c>
      <c r="W229" s="78">
        <f t="shared" si="328"/>
        <v>136.9</v>
      </c>
      <c r="X229" s="77">
        <f t="shared" si="329"/>
        <v>239.57</v>
      </c>
      <c r="Y229" s="79">
        <f t="shared" si="330"/>
        <v>0</v>
      </c>
      <c r="Z229" s="77">
        <f t="shared" si="331"/>
        <v>376.47</v>
      </c>
      <c r="AA229" s="77">
        <f t="shared" si="332"/>
        <v>3422.5</v>
      </c>
      <c r="AB229" s="77">
        <f t="shared" si="333"/>
        <v>3798.9700000000003</v>
      </c>
      <c r="AC229" s="77"/>
      <c r="AD229" s="77">
        <v>500</v>
      </c>
      <c r="AE229" s="77">
        <v>0</v>
      </c>
      <c r="AF229" s="80">
        <f t="shared" si="334"/>
        <v>143.18491199999997</v>
      </c>
      <c r="AG229" s="77">
        <f t="shared" si="335"/>
        <v>143.18</v>
      </c>
      <c r="AH229" s="81">
        <f t="shared" si="336"/>
        <v>0</v>
      </c>
      <c r="AI229" s="81">
        <f t="shared" si="337"/>
        <v>3155.7900000000004</v>
      </c>
      <c r="AJ229" s="70"/>
      <c r="AK229" s="40">
        <f t="shared" si="339"/>
        <v>8</v>
      </c>
      <c r="AM229" s="87"/>
    </row>
    <row r="230" spans="1:39" s="40" customFormat="1" ht="36" customHeight="1">
      <c r="A230" s="100"/>
      <c r="B230" s="68"/>
      <c r="C230" s="68"/>
      <c r="D230" s="61" t="s">
        <v>512</v>
      </c>
      <c r="E230" s="62"/>
      <c r="F230" s="62"/>
      <c r="G230" s="63"/>
      <c r="H230" s="64" t="s">
        <v>101</v>
      </c>
      <c r="I230" s="64"/>
      <c r="J230" s="64"/>
      <c r="K230" s="64"/>
      <c r="L230" s="64"/>
      <c r="M230" s="64"/>
      <c r="N230" s="64"/>
      <c r="O230" s="64"/>
      <c r="P230" s="69">
        <v>15</v>
      </c>
      <c r="Q230" s="69" t="s">
        <v>209</v>
      </c>
      <c r="R230" s="69"/>
      <c r="S230" s="70">
        <v>0</v>
      </c>
      <c r="T230" s="71">
        <v>0</v>
      </c>
      <c r="U230" s="76">
        <f t="shared" si="326"/>
        <v>228.16666666666666</v>
      </c>
      <c r="V230" s="77">
        <f t="shared" ref="V230" si="351">TRUNC(U230*P230,2)</f>
        <v>3422.5</v>
      </c>
      <c r="W230" s="78">
        <f t="shared" ref="W230" si="352">TRUNC(U230*P230*0.04,2)</f>
        <v>136.9</v>
      </c>
      <c r="X230" s="77">
        <f t="shared" ref="X230" si="353">TRUNC(U230*0.07*P230,2)</f>
        <v>239.57</v>
      </c>
      <c r="Y230" s="79">
        <f t="shared" ref="Y230" si="354">S230</f>
        <v>0</v>
      </c>
      <c r="Z230" s="77">
        <f t="shared" ref="Z230" si="355">TRUNC(X230+W230+(IF(Y230&gt;519,519,Y230))+IF(R230=0,0,R230*U230),2)</f>
        <v>376.47</v>
      </c>
      <c r="AA230" s="77">
        <f t="shared" ref="AA230" si="356">TRUNC((IF(R230=0,P230*U230,(P230-R230)*U230))+(IF(Y230&lt;519,0,Y230-519)),2)+T230</f>
        <v>3422.5</v>
      </c>
      <c r="AB230" s="77">
        <f t="shared" ref="AB230" si="357">Z230+AA230</f>
        <v>3798.9700000000003</v>
      </c>
      <c r="AC230" s="77"/>
      <c r="AD230" s="77">
        <v>0</v>
      </c>
      <c r="AE230" s="77">
        <v>0</v>
      </c>
      <c r="AF230" s="80">
        <f t="shared" ref="AF230" si="358">IF(U230&gt;0.01,(AA230-VLOOKUP(AA230,quincenal,1))*VLOOKUP(AA230,quincenal,3)+VLOOKUP(AA230,quincenal,2)-VLOOKUP(AA230,subquincenal,2),0)</f>
        <v>143.18491199999997</v>
      </c>
      <c r="AG230" s="77">
        <f t="shared" ref="AG230" si="359">TRUNC(IF(AF230&gt;0.01,AF230,0),2)</f>
        <v>143.18</v>
      </c>
      <c r="AH230" s="81">
        <f t="shared" ref="AH230" si="360">TRUNC(IF(AF230&lt;0.01,-AF230,0),2)</f>
        <v>0</v>
      </c>
      <c r="AI230" s="81">
        <f t="shared" ref="AI230" si="361">AB230-AD230-AE230-AG230+AH230</f>
        <v>3655.7900000000004</v>
      </c>
      <c r="AJ230" s="70"/>
      <c r="AM230" s="87"/>
    </row>
    <row r="231" spans="1:39" s="40" customFormat="1" ht="36" customHeight="1">
      <c r="A231" s="100">
        <f>A229+1</f>
        <v>112</v>
      </c>
      <c r="B231" s="68"/>
      <c r="C231" s="68"/>
      <c r="D231" s="61" t="s">
        <v>349</v>
      </c>
      <c r="E231" s="144" t="s">
        <v>216</v>
      </c>
      <c r="F231" s="62"/>
      <c r="G231" s="63"/>
      <c r="H231" s="64" t="s">
        <v>254</v>
      </c>
      <c r="I231" s="64"/>
      <c r="J231" s="64"/>
      <c r="K231" s="64"/>
      <c r="L231" s="64"/>
      <c r="M231" s="64"/>
      <c r="N231" s="64"/>
      <c r="O231" s="64"/>
      <c r="P231" s="69">
        <v>15</v>
      </c>
      <c r="Q231" s="69" t="s">
        <v>209</v>
      </c>
      <c r="R231" s="69"/>
      <c r="S231" s="70">
        <v>0</v>
      </c>
      <c r="T231" s="71">
        <v>0</v>
      </c>
      <c r="U231" s="76">
        <f>9121/30</f>
        <v>304.03333333333336</v>
      </c>
      <c r="V231" s="77">
        <f t="shared" si="327"/>
        <v>4560.5</v>
      </c>
      <c r="W231" s="78">
        <f t="shared" si="328"/>
        <v>182.42</v>
      </c>
      <c r="X231" s="77">
        <f t="shared" si="329"/>
        <v>319.23</v>
      </c>
      <c r="Y231" s="79">
        <f t="shared" si="330"/>
        <v>0</v>
      </c>
      <c r="Z231" s="77">
        <f t="shared" si="331"/>
        <v>501.65</v>
      </c>
      <c r="AA231" s="77">
        <f t="shared" si="332"/>
        <v>4560.5</v>
      </c>
      <c r="AB231" s="77">
        <f t="shared" si="333"/>
        <v>5062.1499999999996</v>
      </c>
      <c r="AC231" s="77"/>
      <c r="AD231" s="77"/>
      <c r="AE231" s="77">
        <v>0</v>
      </c>
      <c r="AF231" s="80">
        <f t="shared" si="334"/>
        <v>444.74708800000008</v>
      </c>
      <c r="AG231" s="77">
        <f t="shared" si="335"/>
        <v>444.74</v>
      </c>
      <c r="AH231" s="81">
        <f t="shared" si="336"/>
        <v>0</v>
      </c>
      <c r="AI231" s="81">
        <f t="shared" si="337"/>
        <v>4617.41</v>
      </c>
      <c r="AJ231" s="70"/>
      <c r="AK231" s="40">
        <f>AK229+1</f>
        <v>9</v>
      </c>
      <c r="AM231" s="87"/>
    </row>
    <row r="232" spans="1:39" s="40" customFormat="1" ht="36" customHeight="1">
      <c r="A232" s="100">
        <f t="shared" si="338"/>
        <v>113</v>
      </c>
      <c r="B232" s="68"/>
      <c r="C232" s="68"/>
      <c r="D232" s="61" t="s">
        <v>439</v>
      </c>
      <c r="E232" s="62"/>
      <c r="F232" s="62"/>
      <c r="G232" s="63"/>
      <c r="H232" s="64" t="s">
        <v>254</v>
      </c>
      <c r="I232" s="64"/>
      <c r="J232" s="64"/>
      <c r="K232" s="64"/>
      <c r="L232" s="64"/>
      <c r="M232" s="64"/>
      <c r="N232" s="64"/>
      <c r="O232" s="64"/>
      <c r="P232" s="69">
        <v>15</v>
      </c>
      <c r="Q232" s="69" t="s">
        <v>209</v>
      </c>
      <c r="R232" s="69"/>
      <c r="S232" s="70">
        <v>0</v>
      </c>
      <c r="T232" s="71">
        <v>0</v>
      </c>
      <c r="U232" s="76">
        <f>9121/30</f>
        <v>304.03333333333336</v>
      </c>
      <c r="V232" s="77">
        <f t="shared" si="327"/>
        <v>4560.5</v>
      </c>
      <c r="W232" s="78">
        <f t="shared" si="328"/>
        <v>182.42</v>
      </c>
      <c r="X232" s="77">
        <f t="shared" si="329"/>
        <v>319.23</v>
      </c>
      <c r="Y232" s="79">
        <f t="shared" si="330"/>
        <v>0</v>
      </c>
      <c r="Z232" s="77">
        <f t="shared" si="331"/>
        <v>501.65</v>
      </c>
      <c r="AA232" s="77">
        <f t="shared" si="332"/>
        <v>4560.5</v>
      </c>
      <c r="AB232" s="77">
        <f t="shared" si="333"/>
        <v>5062.1499999999996</v>
      </c>
      <c r="AC232" s="77"/>
      <c r="AD232" s="77"/>
      <c r="AE232" s="77">
        <v>0</v>
      </c>
      <c r="AF232" s="80">
        <f t="shared" si="334"/>
        <v>444.74708800000008</v>
      </c>
      <c r="AG232" s="77">
        <f t="shared" si="335"/>
        <v>444.74</v>
      </c>
      <c r="AH232" s="81">
        <f t="shared" si="336"/>
        <v>0</v>
      </c>
      <c r="AI232" s="81">
        <f t="shared" si="337"/>
        <v>4617.41</v>
      </c>
      <c r="AJ232" s="70"/>
      <c r="AK232" s="40">
        <f t="shared" si="339"/>
        <v>10</v>
      </c>
      <c r="AM232" s="87"/>
    </row>
    <row r="233" spans="1:39" s="40" customFormat="1" ht="36" customHeight="1">
      <c r="A233" s="100">
        <f t="shared" si="338"/>
        <v>114</v>
      </c>
      <c r="B233" s="146" t="s">
        <v>90</v>
      </c>
      <c r="C233" s="68" t="s">
        <v>99</v>
      </c>
      <c r="D233" s="61" t="s">
        <v>475</v>
      </c>
      <c r="E233" s="62"/>
      <c r="F233" s="62"/>
      <c r="G233" s="63"/>
      <c r="H233" s="64" t="s">
        <v>101</v>
      </c>
      <c r="I233" s="64"/>
      <c r="J233" s="64"/>
      <c r="K233" s="64"/>
      <c r="L233" s="64"/>
      <c r="M233" s="64"/>
      <c r="N233" s="64"/>
      <c r="O233" s="64"/>
      <c r="P233" s="69">
        <v>15</v>
      </c>
      <c r="Q233" s="69" t="s">
        <v>209</v>
      </c>
      <c r="R233" s="69"/>
      <c r="S233" s="70">
        <v>0</v>
      </c>
      <c r="T233" s="71">
        <v>0</v>
      </c>
      <c r="U233" s="76">
        <f>6845/30</f>
        <v>228.16666666666666</v>
      </c>
      <c r="V233" s="77">
        <f t="shared" si="327"/>
        <v>3422.5</v>
      </c>
      <c r="W233" s="78">
        <f t="shared" si="328"/>
        <v>136.9</v>
      </c>
      <c r="X233" s="77">
        <f t="shared" si="329"/>
        <v>239.57</v>
      </c>
      <c r="Y233" s="79">
        <f t="shared" si="330"/>
        <v>0</v>
      </c>
      <c r="Z233" s="77">
        <f t="shared" si="331"/>
        <v>376.47</v>
      </c>
      <c r="AA233" s="77">
        <f t="shared" si="332"/>
        <v>3422.5</v>
      </c>
      <c r="AB233" s="77">
        <f t="shared" si="333"/>
        <v>3798.9700000000003</v>
      </c>
      <c r="AC233" s="77"/>
      <c r="AD233" s="77">
        <v>0</v>
      </c>
      <c r="AE233" s="77">
        <v>0</v>
      </c>
      <c r="AF233" s="80">
        <f t="shared" si="334"/>
        <v>143.18491199999997</v>
      </c>
      <c r="AG233" s="77">
        <f t="shared" si="335"/>
        <v>143.18</v>
      </c>
      <c r="AH233" s="81">
        <f t="shared" si="336"/>
        <v>0</v>
      </c>
      <c r="AI233" s="81">
        <f t="shared" si="337"/>
        <v>3655.7900000000004</v>
      </c>
      <c r="AJ233" s="70"/>
      <c r="AK233" s="40">
        <f t="shared" si="339"/>
        <v>11</v>
      </c>
      <c r="AM233" s="87"/>
    </row>
    <row r="234" spans="1:39" s="40" customFormat="1" ht="36" customHeight="1">
      <c r="A234" s="100">
        <f t="shared" si="338"/>
        <v>115</v>
      </c>
      <c r="B234" s="68" t="s">
        <v>90</v>
      </c>
      <c r="C234" s="68" t="s">
        <v>99</v>
      </c>
      <c r="D234" s="61" t="s">
        <v>365</v>
      </c>
      <c r="E234" s="144"/>
      <c r="F234" s="62"/>
      <c r="G234" s="63"/>
      <c r="H234" s="64" t="s">
        <v>101</v>
      </c>
      <c r="I234" s="64"/>
      <c r="J234" s="64"/>
      <c r="K234" s="64"/>
      <c r="L234" s="64"/>
      <c r="M234" s="64"/>
      <c r="N234" s="64"/>
      <c r="O234" s="64"/>
      <c r="P234" s="69">
        <v>15</v>
      </c>
      <c r="Q234" s="69" t="s">
        <v>209</v>
      </c>
      <c r="R234" s="69"/>
      <c r="S234" s="70">
        <v>0</v>
      </c>
      <c r="T234" s="71">
        <v>0</v>
      </c>
      <c r="U234" s="76">
        <f>6845/30</f>
        <v>228.16666666666666</v>
      </c>
      <c r="V234" s="77">
        <f t="shared" si="327"/>
        <v>3422.5</v>
      </c>
      <c r="W234" s="78">
        <f t="shared" si="328"/>
        <v>136.9</v>
      </c>
      <c r="X234" s="77">
        <f t="shared" si="329"/>
        <v>239.57</v>
      </c>
      <c r="Y234" s="79">
        <f t="shared" si="330"/>
        <v>0</v>
      </c>
      <c r="Z234" s="77">
        <f t="shared" si="331"/>
        <v>376.47</v>
      </c>
      <c r="AA234" s="77">
        <f t="shared" si="332"/>
        <v>3422.5</v>
      </c>
      <c r="AB234" s="77">
        <f t="shared" si="333"/>
        <v>3798.9700000000003</v>
      </c>
      <c r="AC234" s="77"/>
      <c r="AD234" s="77">
        <v>0</v>
      </c>
      <c r="AE234" s="77">
        <v>0</v>
      </c>
      <c r="AF234" s="80">
        <f t="shared" si="334"/>
        <v>143.18491199999997</v>
      </c>
      <c r="AG234" s="77">
        <f t="shared" si="335"/>
        <v>143.18</v>
      </c>
      <c r="AH234" s="81">
        <f t="shared" si="336"/>
        <v>0</v>
      </c>
      <c r="AI234" s="81">
        <f t="shared" si="337"/>
        <v>3655.7900000000004</v>
      </c>
      <c r="AJ234" s="70"/>
      <c r="AK234" s="40">
        <f t="shared" si="339"/>
        <v>12</v>
      </c>
      <c r="AM234" s="87"/>
    </row>
    <row r="235" spans="1:39" s="40" customFormat="1" ht="36" customHeight="1">
      <c r="A235" s="100">
        <f t="shared" si="338"/>
        <v>116</v>
      </c>
      <c r="B235" s="68"/>
      <c r="C235" s="68"/>
      <c r="D235" s="61" t="s">
        <v>361</v>
      </c>
      <c r="E235" s="144"/>
      <c r="F235" s="62"/>
      <c r="G235" s="63"/>
      <c r="H235" s="64" t="s">
        <v>484</v>
      </c>
      <c r="I235" s="64"/>
      <c r="J235" s="64"/>
      <c r="K235" s="64"/>
      <c r="L235" s="64"/>
      <c r="M235" s="64"/>
      <c r="N235" s="64"/>
      <c r="O235" s="64"/>
      <c r="P235" s="69">
        <v>15</v>
      </c>
      <c r="Q235" s="69" t="s">
        <v>209</v>
      </c>
      <c r="R235" s="69"/>
      <c r="S235" s="70">
        <v>0</v>
      </c>
      <c r="T235" s="71">
        <v>0</v>
      </c>
      <c r="U235" s="76">
        <f>10948/30</f>
        <v>364.93333333333334</v>
      </c>
      <c r="V235" s="77">
        <f t="shared" si="327"/>
        <v>5474</v>
      </c>
      <c r="W235" s="78">
        <f t="shared" si="328"/>
        <v>218.96</v>
      </c>
      <c r="X235" s="77">
        <f t="shared" si="329"/>
        <v>383.18</v>
      </c>
      <c r="Y235" s="79">
        <f t="shared" si="330"/>
        <v>0</v>
      </c>
      <c r="Z235" s="77">
        <f t="shared" si="331"/>
        <v>602.14</v>
      </c>
      <c r="AA235" s="77">
        <f t="shared" si="332"/>
        <v>5474</v>
      </c>
      <c r="AB235" s="77">
        <f t="shared" si="333"/>
        <v>6076.14</v>
      </c>
      <c r="AC235" s="77"/>
      <c r="AD235" s="77"/>
      <c r="AE235" s="77">
        <v>0</v>
      </c>
      <c r="AF235" s="80">
        <f t="shared" si="334"/>
        <v>622.05722400000013</v>
      </c>
      <c r="AG235" s="77">
        <f t="shared" si="335"/>
        <v>622.04999999999995</v>
      </c>
      <c r="AH235" s="81">
        <f t="shared" si="336"/>
        <v>0</v>
      </c>
      <c r="AI235" s="81">
        <f t="shared" si="337"/>
        <v>5454.09</v>
      </c>
      <c r="AJ235" s="70"/>
      <c r="AK235" s="40">
        <f t="shared" si="339"/>
        <v>13</v>
      </c>
      <c r="AM235" s="87"/>
    </row>
    <row r="236" spans="1:39" s="40" customFormat="1" ht="36" customHeight="1">
      <c r="A236" s="100">
        <f t="shared" si="338"/>
        <v>117</v>
      </c>
      <c r="B236" s="146" t="s">
        <v>90</v>
      </c>
      <c r="C236" s="68" t="s">
        <v>99</v>
      </c>
      <c r="D236" s="120" t="s">
        <v>509</v>
      </c>
      <c r="E236" s="140" t="s">
        <v>151</v>
      </c>
      <c r="F236" s="140" t="s">
        <v>176</v>
      </c>
      <c r="G236" s="141">
        <v>39083</v>
      </c>
      <c r="H236" s="64" t="s">
        <v>103</v>
      </c>
      <c r="I236" s="64"/>
      <c r="J236" s="64"/>
      <c r="K236" s="64"/>
      <c r="L236" s="64"/>
      <c r="M236" s="64"/>
      <c r="N236" s="64"/>
      <c r="O236" s="64"/>
      <c r="P236" s="69">
        <v>15</v>
      </c>
      <c r="Q236" s="69" t="s">
        <v>209</v>
      </c>
      <c r="R236" s="69"/>
      <c r="S236" s="70">
        <v>0</v>
      </c>
      <c r="T236" s="71">
        <v>0</v>
      </c>
      <c r="U236" s="76">
        <f t="shared" ref="U236:U251" si="362">6845/30</f>
        <v>228.16666666666666</v>
      </c>
      <c r="V236" s="77">
        <f t="shared" si="327"/>
        <v>3422.5</v>
      </c>
      <c r="W236" s="78">
        <f t="shared" si="328"/>
        <v>136.9</v>
      </c>
      <c r="X236" s="77">
        <f t="shared" si="329"/>
        <v>239.57</v>
      </c>
      <c r="Y236" s="79">
        <f t="shared" si="330"/>
        <v>0</v>
      </c>
      <c r="Z236" s="77">
        <f t="shared" si="331"/>
        <v>376.47</v>
      </c>
      <c r="AA236" s="77">
        <f t="shared" si="332"/>
        <v>3422.5</v>
      </c>
      <c r="AB236" s="77">
        <f t="shared" si="333"/>
        <v>3798.9700000000003</v>
      </c>
      <c r="AC236" s="77"/>
      <c r="AD236" s="77">
        <v>0</v>
      </c>
      <c r="AE236" s="77">
        <v>0</v>
      </c>
      <c r="AF236" s="80">
        <f t="shared" si="334"/>
        <v>143.18491199999997</v>
      </c>
      <c r="AG236" s="77">
        <f t="shared" si="335"/>
        <v>143.18</v>
      </c>
      <c r="AH236" s="81">
        <f t="shared" si="336"/>
        <v>0</v>
      </c>
      <c r="AI236" s="81">
        <f t="shared" si="337"/>
        <v>3655.7900000000004</v>
      </c>
      <c r="AJ236" s="70"/>
      <c r="AK236" s="40">
        <f t="shared" si="339"/>
        <v>14</v>
      </c>
      <c r="AM236" s="87"/>
    </row>
    <row r="237" spans="1:39" s="40" customFormat="1" ht="36" customHeight="1">
      <c r="A237" s="100">
        <f t="shared" si="338"/>
        <v>118</v>
      </c>
      <c r="B237" s="157" t="s">
        <v>90</v>
      </c>
      <c r="C237" s="157" t="s">
        <v>99</v>
      </c>
      <c r="D237" s="120" t="s">
        <v>362</v>
      </c>
      <c r="E237" s="140"/>
      <c r="F237" s="140"/>
      <c r="G237" s="63"/>
      <c r="H237" s="64" t="s">
        <v>103</v>
      </c>
      <c r="I237" s="64"/>
      <c r="J237" s="64"/>
      <c r="K237" s="64"/>
      <c r="L237" s="64"/>
      <c r="M237" s="64"/>
      <c r="N237" s="64"/>
      <c r="O237" s="64"/>
      <c r="P237" s="69">
        <v>15</v>
      </c>
      <c r="Q237" s="69" t="s">
        <v>209</v>
      </c>
      <c r="R237" s="69"/>
      <c r="S237" s="70">
        <v>0</v>
      </c>
      <c r="T237" s="71">
        <v>0</v>
      </c>
      <c r="U237" s="76">
        <f t="shared" si="362"/>
        <v>228.16666666666666</v>
      </c>
      <c r="V237" s="77">
        <f t="shared" si="327"/>
        <v>3422.5</v>
      </c>
      <c r="W237" s="78">
        <f t="shared" si="328"/>
        <v>136.9</v>
      </c>
      <c r="X237" s="77">
        <f t="shared" si="329"/>
        <v>239.57</v>
      </c>
      <c r="Y237" s="79">
        <f t="shared" si="330"/>
        <v>0</v>
      </c>
      <c r="Z237" s="77">
        <f t="shared" si="331"/>
        <v>376.47</v>
      </c>
      <c r="AA237" s="77">
        <f t="shared" si="332"/>
        <v>3422.5</v>
      </c>
      <c r="AB237" s="77">
        <f t="shared" si="333"/>
        <v>3798.9700000000003</v>
      </c>
      <c r="AC237" s="77"/>
      <c r="AD237" s="77">
        <v>0</v>
      </c>
      <c r="AE237" s="77">
        <v>0</v>
      </c>
      <c r="AF237" s="80">
        <f t="shared" si="334"/>
        <v>143.18491199999997</v>
      </c>
      <c r="AG237" s="77">
        <f t="shared" si="335"/>
        <v>143.18</v>
      </c>
      <c r="AH237" s="81">
        <f t="shared" si="336"/>
        <v>0</v>
      </c>
      <c r="AI237" s="81">
        <f t="shared" si="337"/>
        <v>3655.7900000000004</v>
      </c>
      <c r="AJ237" s="70"/>
      <c r="AK237" s="40">
        <f t="shared" si="339"/>
        <v>15</v>
      </c>
      <c r="AM237" s="87"/>
    </row>
    <row r="238" spans="1:39" s="40" customFormat="1" ht="36" customHeight="1">
      <c r="A238" s="100">
        <f t="shared" si="338"/>
        <v>119</v>
      </c>
      <c r="B238" s="157"/>
      <c r="C238" s="157"/>
      <c r="D238" s="120" t="s">
        <v>215</v>
      </c>
      <c r="E238" s="144" t="s">
        <v>214</v>
      </c>
      <c r="F238" s="62"/>
      <c r="G238" s="63"/>
      <c r="H238" s="64" t="s">
        <v>101</v>
      </c>
      <c r="I238" s="64"/>
      <c r="J238" s="64"/>
      <c r="K238" s="64"/>
      <c r="L238" s="64"/>
      <c r="M238" s="64"/>
      <c r="N238" s="64"/>
      <c r="O238" s="64"/>
      <c r="P238" s="69">
        <v>15</v>
      </c>
      <c r="Q238" s="69" t="s">
        <v>209</v>
      </c>
      <c r="R238" s="69"/>
      <c r="S238" s="70">
        <v>0</v>
      </c>
      <c r="T238" s="71">
        <v>0</v>
      </c>
      <c r="U238" s="76">
        <f t="shared" si="362"/>
        <v>228.16666666666666</v>
      </c>
      <c r="V238" s="77">
        <f t="shared" si="327"/>
        <v>3422.5</v>
      </c>
      <c r="W238" s="78">
        <f t="shared" si="328"/>
        <v>136.9</v>
      </c>
      <c r="X238" s="77">
        <f t="shared" si="329"/>
        <v>239.57</v>
      </c>
      <c r="Y238" s="79">
        <f t="shared" si="330"/>
        <v>0</v>
      </c>
      <c r="Z238" s="77">
        <f t="shared" si="331"/>
        <v>376.47</v>
      </c>
      <c r="AA238" s="77">
        <f t="shared" si="332"/>
        <v>3422.5</v>
      </c>
      <c r="AB238" s="77">
        <f t="shared" si="333"/>
        <v>3798.9700000000003</v>
      </c>
      <c r="AC238" s="77"/>
      <c r="AD238" s="77">
        <v>500</v>
      </c>
      <c r="AE238" s="77">
        <v>0</v>
      </c>
      <c r="AF238" s="80">
        <f t="shared" si="334"/>
        <v>143.18491199999997</v>
      </c>
      <c r="AG238" s="77">
        <f t="shared" si="335"/>
        <v>143.18</v>
      </c>
      <c r="AH238" s="81">
        <f t="shared" si="336"/>
        <v>0</v>
      </c>
      <c r="AI238" s="81">
        <f t="shared" si="337"/>
        <v>3155.7900000000004</v>
      </c>
      <c r="AJ238" s="70"/>
      <c r="AK238" s="40">
        <f t="shared" si="339"/>
        <v>16</v>
      </c>
      <c r="AM238" s="87"/>
    </row>
    <row r="239" spans="1:39" s="40" customFormat="1" ht="36" customHeight="1">
      <c r="A239" s="100">
        <f t="shared" si="338"/>
        <v>120</v>
      </c>
      <c r="B239" s="146" t="s">
        <v>90</v>
      </c>
      <c r="C239" s="68" t="s">
        <v>99</v>
      </c>
      <c r="D239" s="120" t="s">
        <v>502</v>
      </c>
      <c r="E239" s="140"/>
      <c r="F239" s="140"/>
      <c r="G239" s="201"/>
      <c r="H239" s="64" t="s">
        <v>103</v>
      </c>
      <c r="I239" s="64"/>
      <c r="J239" s="64"/>
      <c r="K239" s="64"/>
      <c r="L239" s="64"/>
      <c r="M239" s="64"/>
      <c r="N239" s="64"/>
      <c r="O239" s="64"/>
      <c r="P239" s="69">
        <v>15</v>
      </c>
      <c r="Q239" s="69" t="s">
        <v>209</v>
      </c>
      <c r="R239" s="69"/>
      <c r="S239" s="70">
        <v>0</v>
      </c>
      <c r="T239" s="71">
        <v>0</v>
      </c>
      <c r="U239" s="76">
        <f t="shared" si="362"/>
        <v>228.16666666666666</v>
      </c>
      <c r="V239" s="77">
        <f t="shared" si="327"/>
        <v>3422.5</v>
      </c>
      <c r="W239" s="78">
        <f t="shared" si="328"/>
        <v>136.9</v>
      </c>
      <c r="X239" s="77">
        <f t="shared" si="329"/>
        <v>239.57</v>
      </c>
      <c r="Y239" s="79">
        <f t="shared" si="330"/>
        <v>0</v>
      </c>
      <c r="Z239" s="77">
        <f t="shared" si="331"/>
        <v>376.47</v>
      </c>
      <c r="AA239" s="77">
        <f t="shared" si="332"/>
        <v>3422.5</v>
      </c>
      <c r="AB239" s="77">
        <f t="shared" si="333"/>
        <v>3798.9700000000003</v>
      </c>
      <c r="AC239" s="77"/>
      <c r="AD239" s="77"/>
      <c r="AE239" s="77">
        <v>0</v>
      </c>
      <c r="AF239" s="80">
        <f t="shared" si="334"/>
        <v>143.18491199999997</v>
      </c>
      <c r="AG239" s="77">
        <f t="shared" si="335"/>
        <v>143.18</v>
      </c>
      <c r="AH239" s="81">
        <f t="shared" si="336"/>
        <v>0</v>
      </c>
      <c r="AI239" s="81">
        <f t="shared" si="337"/>
        <v>3655.7900000000004</v>
      </c>
      <c r="AJ239" s="157"/>
      <c r="AK239" s="40">
        <f t="shared" si="339"/>
        <v>17</v>
      </c>
      <c r="AM239" s="87"/>
    </row>
    <row r="240" spans="1:39" s="40" customFormat="1" ht="36" customHeight="1">
      <c r="A240" s="100">
        <f t="shared" si="338"/>
        <v>121</v>
      </c>
      <c r="B240" s="157"/>
      <c r="C240" s="157"/>
      <c r="D240" s="120" t="s">
        <v>435</v>
      </c>
      <c r="E240" s="95" t="s">
        <v>322</v>
      </c>
      <c r="F240" s="95" t="s">
        <v>323</v>
      </c>
      <c r="G240" s="201"/>
      <c r="H240" s="64" t="s">
        <v>101</v>
      </c>
      <c r="I240" s="64"/>
      <c r="J240" s="64"/>
      <c r="K240" s="64"/>
      <c r="L240" s="64"/>
      <c r="M240" s="64"/>
      <c r="N240" s="64"/>
      <c r="O240" s="64"/>
      <c r="P240" s="69">
        <v>15</v>
      </c>
      <c r="Q240" s="69" t="s">
        <v>209</v>
      </c>
      <c r="R240" s="69"/>
      <c r="S240" s="70">
        <v>0</v>
      </c>
      <c r="T240" s="71">
        <v>0</v>
      </c>
      <c r="U240" s="76">
        <f t="shared" si="362"/>
        <v>228.16666666666666</v>
      </c>
      <c r="V240" s="77">
        <f t="shared" si="327"/>
        <v>3422.5</v>
      </c>
      <c r="W240" s="78">
        <f t="shared" si="328"/>
        <v>136.9</v>
      </c>
      <c r="X240" s="77">
        <f t="shared" si="329"/>
        <v>239.57</v>
      </c>
      <c r="Y240" s="79">
        <f t="shared" si="330"/>
        <v>0</v>
      </c>
      <c r="Z240" s="77">
        <f t="shared" si="331"/>
        <v>376.47</v>
      </c>
      <c r="AA240" s="77">
        <f t="shared" si="332"/>
        <v>3422.5</v>
      </c>
      <c r="AB240" s="77">
        <f t="shared" si="333"/>
        <v>3798.9700000000003</v>
      </c>
      <c r="AC240" s="77"/>
      <c r="AD240" s="77"/>
      <c r="AE240" s="77">
        <v>0</v>
      </c>
      <c r="AF240" s="80">
        <f t="shared" si="334"/>
        <v>143.18491199999997</v>
      </c>
      <c r="AG240" s="77">
        <f t="shared" si="335"/>
        <v>143.18</v>
      </c>
      <c r="AH240" s="81">
        <f t="shared" si="336"/>
        <v>0</v>
      </c>
      <c r="AI240" s="81">
        <f t="shared" si="337"/>
        <v>3655.7900000000004</v>
      </c>
      <c r="AJ240" s="70"/>
      <c r="AK240" s="40">
        <f t="shared" si="339"/>
        <v>18</v>
      </c>
      <c r="AM240" s="87"/>
    </row>
    <row r="241" spans="1:39" s="40" customFormat="1" ht="36" customHeight="1">
      <c r="A241" s="100">
        <f>A239+1</f>
        <v>121</v>
      </c>
      <c r="B241" s="68"/>
      <c r="C241" s="68"/>
      <c r="D241" s="61" t="s">
        <v>240</v>
      </c>
      <c r="E241" s="95" t="s">
        <v>324</v>
      </c>
      <c r="F241" s="95" t="s">
        <v>325</v>
      </c>
      <c r="G241" s="63"/>
      <c r="H241" s="64" t="s">
        <v>103</v>
      </c>
      <c r="I241" s="64"/>
      <c r="J241" s="64"/>
      <c r="K241" s="64"/>
      <c r="L241" s="64"/>
      <c r="M241" s="64"/>
      <c r="N241" s="64"/>
      <c r="O241" s="64"/>
      <c r="P241" s="69">
        <v>15</v>
      </c>
      <c r="Q241" s="69" t="s">
        <v>209</v>
      </c>
      <c r="R241" s="69"/>
      <c r="S241" s="70">
        <v>0</v>
      </c>
      <c r="T241" s="71">
        <v>0</v>
      </c>
      <c r="U241" s="76">
        <f t="shared" si="362"/>
        <v>228.16666666666666</v>
      </c>
      <c r="V241" s="77">
        <f t="shared" si="327"/>
        <v>3422.5</v>
      </c>
      <c r="W241" s="78">
        <f t="shared" si="328"/>
        <v>136.9</v>
      </c>
      <c r="X241" s="77">
        <f t="shared" si="329"/>
        <v>239.57</v>
      </c>
      <c r="Y241" s="79">
        <f t="shared" si="330"/>
        <v>0</v>
      </c>
      <c r="Z241" s="77">
        <f t="shared" si="331"/>
        <v>376.47</v>
      </c>
      <c r="AA241" s="77">
        <f t="shared" si="332"/>
        <v>3422.5</v>
      </c>
      <c r="AB241" s="77">
        <f t="shared" si="333"/>
        <v>3798.9700000000003</v>
      </c>
      <c r="AC241" s="77"/>
      <c r="AD241" s="77">
        <v>0</v>
      </c>
      <c r="AE241" s="77">
        <v>0</v>
      </c>
      <c r="AF241" s="80">
        <f t="shared" si="334"/>
        <v>143.18491199999997</v>
      </c>
      <c r="AG241" s="77">
        <f t="shared" si="335"/>
        <v>143.18</v>
      </c>
      <c r="AH241" s="81">
        <f t="shared" si="336"/>
        <v>0</v>
      </c>
      <c r="AI241" s="81">
        <f t="shared" si="337"/>
        <v>3655.7900000000004</v>
      </c>
      <c r="AJ241" s="70"/>
      <c r="AK241" s="40">
        <f t="shared" si="339"/>
        <v>19</v>
      </c>
      <c r="AM241" s="87"/>
    </row>
    <row r="242" spans="1:39" s="40" customFormat="1" ht="36" customHeight="1">
      <c r="A242" s="100">
        <f t="shared" si="338"/>
        <v>122</v>
      </c>
      <c r="B242" s="68"/>
      <c r="C242" s="68"/>
      <c r="D242" s="120" t="s">
        <v>488</v>
      </c>
      <c r="E242" s="62"/>
      <c r="F242" s="62"/>
      <c r="G242" s="63"/>
      <c r="H242" s="64" t="s">
        <v>101</v>
      </c>
      <c r="I242" s="64"/>
      <c r="J242" s="64"/>
      <c r="K242" s="64"/>
      <c r="L242" s="64"/>
      <c r="M242" s="64"/>
      <c r="N242" s="64"/>
      <c r="O242" s="64"/>
      <c r="P242" s="69">
        <v>15</v>
      </c>
      <c r="Q242" s="69" t="s">
        <v>209</v>
      </c>
      <c r="R242" s="69"/>
      <c r="S242" s="70">
        <v>0</v>
      </c>
      <c r="T242" s="71">
        <v>0</v>
      </c>
      <c r="U242" s="76">
        <f t="shared" si="362"/>
        <v>228.16666666666666</v>
      </c>
      <c r="V242" s="77">
        <f t="shared" si="327"/>
        <v>3422.5</v>
      </c>
      <c r="W242" s="78">
        <f t="shared" si="328"/>
        <v>136.9</v>
      </c>
      <c r="X242" s="77">
        <f t="shared" si="329"/>
        <v>239.57</v>
      </c>
      <c r="Y242" s="79">
        <f t="shared" si="330"/>
        <v>0</v>
      </c>
      <c r="Z242" s="77">
        <f t="shared" si="331"/>
        <v>376.47</v>
      </c>
      <c r="AA242" s="77">
        <f t="shared" si="332"/>
        <v>3422.5</v>
      </c>
      <c r="AB242" s="77">
        <f t="shared" si="333"/>
        <v>3798.9700000000003</v>
      </c>
      <c r="AC242" s="77"/>
      <c r="AD242" s="77">
        <v>0</v>
      </c>
      <c r="AE242" s="77">
        <v>0</v>
      </c>
      <c r="AF242" s="80">
        <f t="shared" si="334"/>
        <v>143.18491199999997</v>
      </c>
      <c r="AG242" s="77">
        <f t="shared" si="335"/>
        <v>143.18</v>
      </c>
      <c r="AH242" s="81">
        <f t="shared" si="336"/>
        <v>0</v>
      </c>
      <c r="AI242" s="81">
        <f t="shared" si="337"/>
        <v>3655.7900000000004</v>
      </c>
      <c r="AJ242" s="70"/>
      <c r="AK242" s="40">
        <f t="shared" si="339"/>
        <v>20</v>
      </c>
      <c r="AM242" s="87"/>
    </row>
    <row r="243" spans="1:39" s="40" customFormat="1" ht="36" customHeight="1">
      <c r="A243" s="100">
        <f t="shared" si="338"/>
        <v>123</v>
      </c>
      <c r="B243" s="68"/>
      <c r="C243" s="68"/>
      <c r="D243" s="120" t="s">
        <v>474</v>
      </c>
      <c r="E243" s="62"/>
      <c r="F243" s="62"/>
      <c r="G243" s="63"/>
      <c r="H243" s="64" t="s">
        <v>101</v>
      </c>
      <c r="I243" s="64"/>
      <c r="J243" s="64"/>
      <c r="K243" s="64"/>
      <c r="L243" s="64"/>
      <c r="M243" s="64"/>
      <c r="N243" s="64"/>
      <c r="O243" s="64"/>
      <c r="P243" s="69">
        <v>15</v>
      </c>
      <c r="Q243" s="69" t="s">
        <v>209</v>
      </c>
      <c r="R243" s="69"/>
      <c r="S243" s="70">
        <v>0</v>
      </c>
      <c r="T243" s="71">
        <v>0</v>
      </c>
      <c r="U243" s="76">
        <f t="shared" si="362"/>
        <v>228.16666666666666</v>
      </c>
      <c r="V243" s="77">
        <f t="shared" si="327"/>
        <v>3422.5</v>
      </c>
      <c r="W243" s="78">
        <f t="shared" si="328"/>
        <v>136.9</v>
      </c>
      <c r="X243" s="77">
        <f t="shared" si="329"/>
        <v>239.57</v>
      </c>
      <c r="Y243" s="79">
        <f t="shared" si="330"/>
        <v>0</v>
      </c>
      <c r="Z243" s="77">
        <f t="shared" si="331"/>
        <v>376.47</v>
      </c>
      <c r="AA243" s="77">
        <f t="shared" si="332"/>
        <v>3422.5</v>
      </c>
      <c r="AB243" s="77">
        <f t="shared" si="333"/>
        <v>3798.9700000000003</v>
      </c>
      <c r="AC243" s="77"/>
      <c r="AD243" s="77">
        <v>0</v>
      </c>
      <c r="AE243" s="77">
        <v>0</v>
      </c>
      <c r="AF243" s="80">
        <f t="shared" si="334"/>
        <v>143.18491199999997</v>
      </c>
      <c r="AG243" s="77">
        <f t="shared" si="335"/>
        <v>143.18</v>
      </c>
      <c r="AH243" s="81">
        <f t="shared" si="336"/>
        <v>0</v>
      </c>
      <c r="AI243" s="81">
        <f t="shared" si="337"/>
        <v>3655.7900000000004</v>
      </c>
      <c r="AJ243" s="70"/>
      <c r="AK243" s="40">
        <f t="shared" si="339"/>
        <v>21</v>
      </c>
      <c r="AM243" s="87"/>
    </row>
    <row r="244" spans="1:39" s="40" customFormat="1" ht="3" customHeight="1">
      <c r="A244" s="100">
        <f t="shared" si="338"/>
        <v>124</v>
      </c>
      <c r="B244" s="68"/>
      <c r="C244" s="68"/>
      <c r="D244" s="61"/>
      <c r="E244" s="62"/>
      <c r="F244" s="62"/>
      <c r="G244" s="63"/>
      <c r="H244" s="64" t="s">
        <v>101</v>
      </c>
      <c r="I244" s="64"/>
      <c r="J244" s="64"/>
      <c r="K244" s="64"/>
      <c r="L244" s="64"/>
      <c r="M244" s="64"/>
      <c r="N244" s="64"/>
      <c r="O244" s="64"/>
      <c r="P244" s="69"/>
      <c r="Q244" s="69" t="s">
        <v>209</v>
      </c>
      <c r="R244" s="69"/>
      <c r="S244" s="70">
        <v>0</v>
      </c>
      <c r="T244" s="71">
        <v>0</v>
      </c>
      <c r="U244" s="76">
        <f t="shared" si="362"/>
        <v>228.16666666666666</v>
      </c>
      <c r="V244" s="77">
        <f t="shared" si="327"/>
        <v>0</v>
      </c>
      <c r="W244" s="78">
        <f t="shared" si="328"/>
        <v>0</v>
      </c>
      <c r="X244" s="77">
        <f t="shared" si="329"/>
        <v>0</v>
      </c>
      <c r="Y244" s="79">
        <f t="shared" si="330"/>
        <v>0</v>
      </c>
      <c r="Z244" s="77">
        <f t="shared" si="331"/>
        <v>0</v>
      </c>
      <c r="AA244" s="77">
        <f t="shared" si="332"/>
        <v>0</v>
      </c>
      <c r="AB244" s="77">
        <f t="shared" si="333"/>
        <v>0</v>
      </c>
      <c r="AC244" s="77"/>
      <c r="AD244" s="77">
        <v>0</v>
      </c>
      <c r="AE244" s="77">
        <v>0</v>
      </c>
      <c r="AF244" s="80" t="e">
        <f t="shared" si="334"/>
        <v>#N/A</v>
      </c>
      <c r="AG244" s="77"/>
      <c r="AH244" s="81"/>
      <c r="AI244" s="81">
        <f t="shared" si="337"/>
        <v>0</v>
      </c>
      <c r="AJ244" s="70"/>
      <c r="AK244" s="40">
        <f t="shared" si="339"/>
        <v>22</v>
      </c>
      <c r="AM244" s="87"/>
    </row>
    <row r="245" spans="1:39" s="40" customFormat="1" ht="5.25" customHeight="1">
      <c r="A245" s="100">
        <f t="shared" si="338"/>
        <v>125</v>
      </c>
      <c r="B245" s="68"/>
      <c r="C245" s="68"/>
      <c r="D245" s="120"/>
      <c r="E245" s="62"/>
      <c r="F245" s="62"/>
      <c r="G245" s="201"/>
      <c r="H245" s="64" t="s">
        <v>101</v>
      </c>
      <c r="I245" s="64"/>
      <c r="J245" s="64"/>
      <c r="K245" s="64"/>
      <c r="L245" s="64"/>
      <c r="M245" s="64"/>
      <c r="N245" s="64"/>
      <c r="O245" s="64"/>
      <c r="P245" s="69">
        <v>0</v>
      </c>
      <c r="Q245" s="69" t="s">
        <v>209</v>
      </c>
      <c r="R245" s="69"/>
      <c r="S245" s="70">
        <v>0</v>
      </c>
      <c r="T245" s="71">
        <v>0</v>
      </c>
      <c r="U245" s="76">
        <f t="shared" si="362"/>
        <v>228.16666666666666</v>
      </c>
      <c r="V245" s="77">
        <f t="shared" si="327"/>
        <v>0</v>
      </c>
      <c r="W245" s="78">
        <f t="shared" si="328"/>
        <v>0</v>
      </c>
      <c r="X245" s="77">
        <f t="shared" si="329"/>
        <v>0</v>
      </c>
      <c r="Y245" s="79">
        <f t="shared" si="330"/>
        <v>0</v>
      </c>
      <c r="Z245" s="77">
        <f t="shared" si="331"/>
        <v>0</v>
      </c>
      <c r="AA245" s="77">
        <f t="shared" si="332"/>
        <v>0</v>
      </c>
      <c r="AB245" s="77">
        <f t="shared" si="333"/>
        <v>0</v>
      </c>
      <c r="AC245" s="77"/>
      <c r="AD245" s="77">
        <v>0</v>
      </c>
      <c r="AE245" s="77">
        <v>0</v>
      </c>
      <c r="AF245" s="80" t="e">
        <f t="shared" si="334"/>
        <v>#N/A</v>
      </c>
      <c r="AG245" s="77">
        <v>0</v>
      </c>
      <c r="AH245" s="81">
        <v>0</v>
      </c>
      <c r="AI245" s="81">
        <f t="shared" si="337"/>
        <v>0</v>
      </c>
      <c r="AJ245" s="70"/>
      <c r="AK245" s="40">
        <f t="shared" si="339"/>
        <v>23</v>
      </c>
      <c r="AM245" s="87"/>
    </row>
    <row r="246" spans="1:39" s="40" customFormat="1" ht="36" customHeight="1">
      <c r="A246" s="100">
        <f t="shared" si="338"/>
        <v>126</v>
      </c>
      <c r="B246" s="68"/>
      <c r="C246" s="68"/>
      <c r="D246" s="120" t="s">
        <v>440</v>
      </c>
      <c r="E246" s="140"/>
      <c r="F246" s="140"/>
      <c r="G246" s="201"/>
      <c r="H246" s="64" t="s">
        <v>103</v>
      </c>
      <c r="I246" s="64"/>
      <c r="J246" s="64"/>
      <c r="K246" s="64"/>
      <c r="L246" s="64"/>
      <c r="M246" s="64"/>
      <c r="N246" s="64"/>
      <c r="O246" s="64"/>
      <c r="P246" s="69">
        <v>15</v>
      </c>
      <c r="Q246" s="69" t="s">
        <v>209</v>
      </c>
      <c r="R246" s="69"/>
      <c r="S246" s="70">
        <v>0</v>
      </c>
      <c r="T246" s="71">
        <v>0</v>
      </c>
      <c r="U246" s="76">
        <f t="shared" si="362"/>
        <v>228.16666666666666</v>
      </c>
      <c r="V246" s="77">
        <f t="shared" si="327"/>
        <v>3422.5</v>
      </c>
      <c r="W246" s="78">
        <f t="shared" si="328"/>
        <v>136.9</v>
      </c>
      <c r="X246" s="77">
        <f t="shared" si="329"/>
        <v>239.57</v>
      </c>
      <c r="Y246" s="79">
        <f t="shared" si="330"/>
        <v>0</v>
      </c>
      <c r="Z246" s="77">
        <f t="shared" si="331"/>
        <v>376.47</v>
      </c>
      <c r="AA246" s="77">
        <f t="shared" si="332"/>
        <v>3422.5</v>
      </c>
      <c r="AB246" s="77">
        <f t="shared" si="333"/>
        <v>3798.9700000000003</v>
      </c>
      <c r="AC246" s="77"/>
      <c r="AD246" s="77"/>
      <c r="AE246" s="77">
        <v>0</v>
      </c>
      <c r="AF246" s="80">
        <f t="shared" si="334"/>
        <v>143.18491199999997</v>
      </c>
      <c r="AG246" s="77">
        <f t="shared" si="335"/>
        <v>143.18</v>
      </c>
      <c r="AH246" s="81">
        <f t="shared" si="336"/>
        <v>0</v>
      </c>
      <c r="AI246" s="81">
        <f t="shared" si="337"/>
        <v>3655.7900000000004</v>
      </c>
      <c r="AJ246" s="70"/>
      <c r="AK246" s="40">
        <f t="shared" si="339"/>
        <v>24</v>
      </c>
      <c r="AM246" s="87"/>
    </row>
    <row r="247" spans="1:39" s="40" customFormat="1" ht="36" customHeight="1">
      <c r="A247" s="100">
        <f t="shared" si="338"/>
        <v>127</v>
      </c>
      <c r="B247" s="68" t="s">
        <v>90</v>
      </c>
      <c r="C247" s="68" t="s">
        <v>99</v>
      </c>
      <c r="D247" s="120" t="s">
        <v>510</v>
      </c>
      <c r="E247" s="96" t="s">
        <v>327</v>
      </c>
      <c r="F247" s="97" t="s">
        <v>328</v>
      </c>
      <c r="G247" s="201"/>
      <c r="H247" s="64" t="s">
        <v>101</v>
      </c>
      <c r="I247" s="64"/>
      <c r="J247" s="64"/>
      <c r="K247" s="64"/>
      <c r="L247" s="64"/>
      <c r="M247" s="64"/>
      <c r="N247" s="64"/>
      <c r="O247" s="64"/>
      <c r="P247" s="152">
        <v>15</v>
      </c>
      <c r="Q247" s="159" t="s">
        <v>209</v>
      </c>
      <c r="R247" s="157"/>
      <c r="S247" s="157">
        <v>0</v>
      </c>
      <c r="T247" s="157">
        <v>0</v>
      </c>
      <c r="U247" s="76">
        <f t="shared" si="362"/>
        <v>228.16666666666666</v>
      </c>
      <c r="V247" s="77">
        <f t="shared" si="327"/>
        <v>3422.5</v>
      </c>
      <c r="W247" s="78">
        <f t="shared" si="328"/>
        <v>136.9</v>
      </c>
      <c r="X247" s="77">
        <f t="shared" si="329"/>
        <v>239.57</v>
      </c>
      <c r="Y247" s="79">
        <f t="shared" si="330"/>
        <v>0</v>
      </c>
      <c r="Z247" s="77">
        <f t="shared" si="331"/>
        <v>376.47</v>
      </c>
      <c r="AA247" s="77">
        <f t="shared" si="332"/>
        <v>3422.5</v>
      </c>
      <c r="AB247" s="77">
        <f t="shared" si="333"/>
        <v>3798.9700000000003</v>
      </c>
      <c r="AC247" s="77"/>
      <c r="AD247" s="77">
        <v>0</v>
      </c>
      <c r="AE247" s="77">
        <v>0</v>
      </c>
      <c r="AF247" s="80">
        <f t="shared" si="334"/>
        <v>143.18491199999997</v>
      </c>
      <c r="AG247" s="77">
        <f t="shared" si="335"/>
        <v>143.18</v>
      </c>
      <c r="AH247" s="81">
        <v>0</v>
      </c>
      <c r="AI247" s="81">
        <f t="shared" si="337"/>
        <v>3655.7900000000004</v>
      </c>
      <c r="AJ247" s="70"/>
      <c r="AK247" s="40">
        <f t="shared" si="339"/>
        <v>25</v>
      </c>
      <c r="AM247" s="87"/>
    </row>
    <row r="248" spans="1:39" s="40" customFormat="1" ht="36" customHeight="1">
      <c r="A248" s="100">
        <f t="shared" si="338"/>
        <v>128</v>
      </c>
      <c r="B248" s="68" t="s">
        <v>90</v>
      </c>
      <c r="C248" s="68" t="s">
        <v>99</v>
      </c>
      <c r="D248" s="120" t="s">
        <v>205</v>
      </c>
      <c r="E248" s="140" t="s">
        <v>280</v>
      </c>
      <c r="F248" s="140" t="s">
        <v>281</v>
      </c>
      <c r="G248" s="202"/>
      <c r="H248" s="64" t="s">
        <v>103</v>
      </c>
      <c r="I248" s="64"/>
      <c r="J248" s="64"/>
      <c r="K248" s="64"/>
      <c r="L248" s="64"/>
      <c r="M248" s="64"/>
      <c r="N248" s="64"/>
      <c r="O248" s="64"/>
      <c r="P248" s="69">
        <v>15</v>
      </c>
      <c r="Q248" s="69" t="s">
        <v>209</v>
      </c>
      <c r="R248" s="69"/>
      <c r="S248" s="70">
        <v>0</v>
      </c>
      <c r="T248" s="71">
        <v>0</v>
      </c>
      <c r="U248" s="76">
        <f t="shared" si="362"/>
        <v>228.16666666666666</v>
      </c>
      <c r="V248" s="77">
        <f t="shared" si="327"/>
        <v>3422.5</v>
      </c>
      <c r="W248" s="78">
        <f t="shared" si="328"/>
        <v>136.9</v>
      </c>
      <c r="X248" s="77">
        <f t="shared" si="329"/>
        <v>239.57</v>
      </c>
      <c r="Y248" s="79">
        <f t="shared" si="330"/>
        <v>0</v>
      </c>
      <c r="Z248" s="77">
        <f t="shared" si="331"/>
        <v>376.47</v>
      </c>
      <c r="AA248" s="77">
        <f t="shared" si="332"/>
        <v>3422.5</v>
      </c>
      <c r="AB248" s="77">
        <f t="shared" si="333"/>
        <v>3798.9700000000003</v>
      </c>
      <c r="AC248" s="77"/>
      <c r="AD248" s="77">
        <v>0</v>
      </c>
      <c r="AE248" s="77">
        <v>0</v>
      </c>
      <c r="AF248" s="80">
        <f t="shared" si="334"/>
        <v>143.18491199999997</v>
      </c>
      <c r="AG248" s="77">
        <f t="shared" si="335"/>
        <v>143.18</v>
      </c>
      <c r="AH248" s="81">
        <f t="shared" si="336"/>
        <v>0</v>
      </c>
      <c r="AI248" s="81">
        <f t="shared" si="337"/>
        <v>3655.7900000000004</v>
      </c>
      <c r="AJ248" s="70"/>
      <c r="AK248" s="40">
        <f t="shared" si="339"/>
        <v>26</v>
      </c>
      <c r="AM248" s="87"/>
    </row>
    <row r="249" spans="1:39" s="40" customFormat="1" ht="36" customHeight="1">
      <c r="A249" s="100">
        <f t="shared" si="338"/>
        <v>129</v>
      </c>
      <c r="B249" s="157"/>
      <c r="C249" s="157"/>
      <c r="D249" s="120" t="s">
        <v>436</v>
      </c>
      <c r="E249" s="62"/>
      <c r="F249" s="62"/>
      <c r="G249" s="201"/>
      <c r="H249" s="64" t="s">
        <v>101</v>
      </c>
      <c r="I249" s="64"/>
      <c r="J249" s="64"/>
      <c r="K249" s="64"/>
      <c r="L249" s="64"/>
      <c r="M249" s="64"/>
      <c r="N249" s="64"/>
      <c r="O249" s="64"/>
      <c r="P249" s="69">
        <v>15</v>
      </c>
      <c r="Q249" s="69" t="s">
        <v>209</v>
      </c>
      <c r="R249" s="69"/>
      <c r="S249" s="70">
        <v>0</v>
      </c>
      <c r="T249" s="71">
        <v>0</v>
      </c>
      <c r="U249" s="76">
        <f t="shared" si="362"/>
        <v>228.16666666666666</v>
      </c>
      <c r="V249" s="77">
        <f t="shared" si="327"/>
        <v>3422.5</v>
      </c>
      <c r="W249" s="78">
        <f t="shared" si="328"/>
        <v>136.9</v>
      </c>
      <c r="X249" s="77">
        <f t="shared" si="329"/>
        <v>239.57</v>
      </c>
      <c r="Y249" s="79">
        <f t="shared" si="330"/>
        <v>0</v>
      </c>
      <c r="Z249" s="77">
        <f t="shared" si="331"/>
        <v>376.47</v>
      </c>
      <c r="AA249" s="77">
        <f t="shared" si="332"/>
        <v>3422.5</v>
      </c>
      <c r="AB249" s="77">
        <f t="shared" si="333"/>
        <v>3798.9700000000003</v>
      </c>
      <c r="AC249" s="77"/>
      <c r="AD249" s="77">
        <v>0</v>
      </c>
      <c r="AE249" s="77">
        <v>0</v>
      </c>
      <c r="AF249" s="80">
        <f t="shared" si="334"/>
        <v>143.18491199999997</v>
      </c>
      <c r="AG249" s="77">
        <f t="shared" si="335"/>
        <v>143.18</v>
      </c>
      <c r="AH249" s="81">
        <f t="shared" si="336"/>
        <v>0</v>
      </c>
      <c r="AI249" s="81">
        <f t="shared" si="337"/>
        <v>3655.7900000000004</v>
      </c>
      <c r="AJ249" s="70"/>
      <c r="AK249" s="40">
        <f t="shared" si="339"/>
        <v>27</v>
      </c>
      <c r="AM249" s="87"/>
    </row>
    <row r="250" spans="1:39" s="40" customFormat="1" ht="36" customHeight="1">
      <c r="A250" s="100"/>
      <c r="B250" s="157"/>
      <c r="C250" s="157"/>
      <c r="D250" s="120" t="s">
        <v>511</v>
      </c>
      <c r="E250" s="62"/>
      <c r="F250" s="62"/>
      <c r="G250" s="201"/>
      <c r="H250" s="64" t="s">
        <v>101</v>
      </c>
      <c r="I250" s="64"/>
      <c r="J250" s="64"/>
      <c r="K250" s="64"/>
      <c r="L250" s="64"/>
      <c r="M250" s="64"/>
      <c r="N250" s="64"/>
      <c r="O250" s="64"/>
      <c r="P250" s="69">
        <v>15</v>
      </c>
      <c r="Q250" s="69" t="s">
        <v>209</v>
      </c>
      <c r="R250" s="69"/>
      <c r="S250" s="70">
        <v>0</v>
      </c>
      <c r="T250" s="71">
        <v>0</v>
      </c>
      <c r="U250" s="76">
        <f t="shared" si="362"/>
        <v>228.16666666666666</v>
      </c>
      <c r="V250" s="77">
        <f t="shared" ref="V250" si="363">TRUNC(U250*P250,2)</f>
        <v>3422.5</v>
      </c>
      <c r="W250" s="78">
        <f t="shared" ref="W250" si="364">TRUNC(U250*P250*0.04,2)</f>
        <v>136.9</v>
      </c>
      <c r="X250" s="77">
        <f t="shared" ref="X250" si="365">TRUNC(U250*0.07*P250,2)</f>
        <v>239.57</v>
      </c>
      <c r="Y250" s="79">
        <f t="shared" ref="Y250" si="366">S250</f>
        <v>0</v>
      </c>
      <c r="Z250" s="77">
        <f t="shared" ref="Z250" si="367">TRUNC(X250+W250+(IF(Y250&gt;519,519,Y250))+IF(R250=0,0,R250*U250),2)</f>
        <v>376.47</v>
      </c>
      <c r="AA250" s="77">
        <f t="shared" ref="AA250" si="368">TRUNC((IF(R250=0,P250*U250,(P250-R250)*U250))+(IF(Y250&lt;519,0,Y250-519)),2)+T250</f>
        <v>3422.5</v>
      </c>
      <c r="AB250" s="77">
        <f t="shared" ref="AB250" si="369">Z250+AA250</f>
        <v>3798.9700000000003</v>
      </c>
      <c r="AC250" s="77"/>
      <c r="AD250" s="77">
        <v>0</v>
      </c>
      <c r="AE250" s="77">
        <v>0</v>
      </c>
      <c r="AF250" s="80">
        <f t="shared" ref="AF250" si="370">IF(U250&gt;0.01,(AA250-VLOOKUP(AA250,quincenal,1))*VLOOKUP(AA250,quincenal,3)+VLOOKUP(AA250,quincenal,2)-VLOOKUP(AA250,subquincenal,2),0)</f>
        <v>143.18491199999997</v>
      </c>
      <c r="AG250" s="77">
        <f t="shared" ref="AG250" si="371">TRUNC(IF(AF250&gt;0.01,AF250,0),2)</f>
        <v>143.18</v>
      </c>
      <c r="AH250" s="81">
        <f t="shared" ref="AH250" si="372">TRUNC(IF(AF250&lt;0.01,-AF250,0),2)</f>
        <v>0</v>
      </c>
      <c r="AI250" s="81">
        <f t="shared" ref="AI250" si="373">AB250-AD250-AE250-AG250+AH250</f>
        <v>3655.7900000000004</v>
      </c>
      <c r="AJ250" s="70"/>
      <c r="AM250" s="87"/>
    </row>
    <row r="251" spans="1:39" s="40" customFormat="1" ht="36" customHeight="1">
      <c r="A251" s="100">
        <f>A249+1</f>
        <v>130</v>
      </c>
      <c r="B251" s="68" t="s">
        <v>90</v>
      </c>
      <c r="C251" s="68" t="s">
        <v>99</v>
      </c>
      <c r="D251" s="120" t="s">
        <v>438</v>
      </c>
      <c r="E251" s="62"/>
      <c r="F251" s="62"/>
      <c r="G251" s="201"/>
      <c r="H251" s="64" t="s">
        <v>101</v>
      </c>
      <c r="I251" s="64"/>
      <c r="J251" s="64"/>
      <c r="K251" s="64"/>
      <c r="L251" s="64"/>
      <c r="M251" s="64"/>
      <c r="N251" s="64"/>
      <c r="O251" s="64"/>
      <c r="P251" s="69">
        <v>15</v>
      </c>
      <c r="Q251" s="69" t="s">
        <v>209</v>
      </c>
      <c r="R251" s="69"/>
      <c r="S251" s="70">
        <v>0</v>
      </c>
      <c r="T251" s="71">
        <v>0</v>
      </c>
      <c r="U251" s="76">
        <f t="shared" si="362"/>
        <v>228.16666666666666</v>
      </c>
      <c r="V251" s="77">
        <f t="shared" si="327"/>
        <v>3422.5</v>
      </c>
      <c r="W251" s="78">
        <f t="shared" si="328"/>
        <v>136.9</v>
      </c>
      <c r="X251" s="77">
        <f t="shared" si="329"/>
        <v>239.57</v>
      </c>
      <c r="Y251" s="79">
        <f t="shared" si="330"/>
        <v>0</v>
      </c>
      <c r="Z251" s="77">
        <f t="shared" si="331"/>
        <v>376.47</v>
      </c>
      <c r="AA251" s="77">
        <f t="shared" si="332"/>
        <v>3422.5</v>
      </c>
      <c r="AB251" s="77">
        <f t="shared" si="333"/>
        <v>3798.9700000000003</v>
      </c>
      <c r="AC251" s="77"/>
      <c r="AD251" s="77"/>
      <c r="AE251" s="77">
        <v>0</v>
      </c>
      <c r="AF251" s="80">
        <f t="shared" si="334"/>
        <v>143.18491199999997</v>
      </c>
      <c r="AG251" s="77">
        <f t="shared" si="335"/>
        <v>143.18</v>
      </c>
      <c r="AH251" s="81">
        <f t="shared" si="336"/>
        <v>0</v>
      </c>
      <c r="AI251" s="81">
        <f t="shared" si="337"/>
        <v>3655.7900000000004</v>
      </c>
      <c r="AJ251" s="70"/>
      <c r="AK251" s="40">
        <f>AK249+1</f>
        <v>28</v>
      </c>
      <c r="AM251" s="87"/>
    </row>
    <row r="252" spans="1:39" s="40" customFormat="1" ht="36" customHeight="1">
      <c r="A252" s="100">
        <f t="shared" si="338"/>
        <v>131</v>
      </c>
      <c r="B252" s="157"/>
      <c r="C252" s="157"/>
      <c r="D252" s="61" t="s">
        <v>434</v>
      </c>
      <c r="E252" s="62"/>
      <c r="F252" s="62"/>
      <c r="G252" s="63"/>
      <c r="H252" s="98" t="s">
        <v>348</v>
      </c>
      <c r="I252" s="98"/>
      <c r="J252" s="98"/>
      <c r="K252" s="98"/>
      <c r="L252" s="98"/>
      <c r="M252" s="98"/>
      <c r="N252" s="98"/>
      <c r="O252" s="98"/>
      <c r="P252" s="69">
        <v>15</v>
      </c>
      <c r="Q252" s="69" t="s">
        <v>209</v>
      </c>
      <c r="R252" s="69"/>
      <c r="S252" s="70">
        <v>0</v>
      </c>
      <c r="T252" s="71">
        <v>0</v>
      </c>
      <c r="U252" s="153">
        <f>16133/30</f>
        <v>537.76666666666665</v>
      </c>
      <c r="V252" s="77">
        <f t="shared" si="327"/>
        <v>8066.5</v>
      </c>
      <c r="W252" s="78">
        <f t="shared" si="328"/>
        <v>322.66000000000003</v>
      </c>
      <c r="X252" s="77">
        <f t="shared" si="329"/>
        <v>564.65</v>
      </c>
      <c r="Y252" s="154">
        <f t="shared" si="330"/>
        <v>0</v>
      </c>
      <c r="Z252" s="77">
        <f t="shared" si="331"/>
        <v>887.31</v>
      </c>
      <c r="AA252" s="77">
        <f t="shared" si="332"/>
        <v>8066.5</v>
      </c>
      <c r="AB252" s="77">
        <f t="shared" si="333"/>
        <v>8953.81</v>
      </c>
      <c r="AC252" s="77"/>
      <c r="AD252" s="77"/>
      <c r="AE252" s="77">
        <v>0</v>
      </c>
      <c r="AF252" s="80">
        <f t="shared" si="334"/>
        <v>1175.8152239999999</v>
      </c>
      <c r="AG252" s="77">
        <f t="shared" si="335"/>
        <v>1175.81</v>
      </c>
      <c r="AH252" s="81">
        <f t="shared" si="336"/>
        <v>0</v>
      </c>
      <c r="AI252" s="81">
        <f t="shared" si="337"/>
        <v>7778</v>
      </c>
      <c r="AJ252" s="70"/>
      <c r="AK252" s="40">
        <f t="shared" si="339"/>
        <v>29</v>
      </c>
      <c r="AM252" s="87"/>
    </row>
    <row r="253" spans="1:39" s="40" customFormat="1" ht="36" customHeight="1">
      <c r="A253" s="100">
        <f t="shared" si="338"/>
        <v>132</v>
      </c>
      <c r="B253" s="146" t="s">
        <v>90</v>
      </c>
      <c r="C253" s="68" t="s">
        <v>99</v>
      </c>
      <c r="D253" s="61" t="s">
        <v>256</v>
      </c>
      <c r="E253" s="144" t="s">
        <v>326</v>
      </c>
      <c r="F253" s="62"/>
      <c r="G253" s="63"/>
      <c r="H253" s="98" t="s">
        <v>28</v>
      </c>
      <c r="I253" s="98"/>
      <c r="J253" s="98"/>
      <c r="K253" s="98"/>
      <c r="L253" s="98"/>
      <c r="M253" s="98"/>
      <c r="N253" s="98"/>
      <c r="O253" s="98"/>
      <c r="P253" s="69">
        <v>15</v>
      </c>
      <c r="Q253" s="69" t="s">
        <v>209</v>
      </c>
      <c r="R253" s="69"/>
      <c r="S253" s="70">
        <v>0</v>
      </c>
      <c r="T253" s="71">
        <v>0</v>
      </c>
      <c r="U253" s="76">
        <f>8256/30</f>
        <v>275.2</v>
      </c>
      <c r="V253" s="77">
        <f t="shared" si="327"/>
        <v>4128</v>
      </c>
      <c r="W253" s="78">
        <f t="shared" si="328"/>
        <v>165.12</v>
      </c>
      <c r="X253" s="77">
        <f t="shared" si="329"/>
        <v>288.95999999999998</v>
      </c>
      <c r="Y253" s="79">
        <f t="shared" si="330"/>
        <v>0</v>
      </c>
      <c r="Z253" s="77">
        <f t="shared" si="331"/>
        <v>454.08</v>
      </c>
      <c r="AA253" s="77">
        <f t="shared" si="332"/>
        <v>4128</v>
      </c>
      <c r="AB253" s="77">
        <f t="shared" si="333"/>
        <v>4582.08</v>
      </c>
      <c r="AC253" s="77"/>
      <c r="AD253" s="77">
        <v>500</v>
      </c>
      <c r="AE253" s="77">
        <v>0</v>
      </c>
      <c r="AF253" s="80">
        <f t="shared" si="334"/>
        <v>369.5684</v>
      </c>
      <c r="AG253" s="77">
        <f t="shared" si="335"/>
        <v>369.56</v>
      </c>
      <c r="AH253" s="81">
        <f t="shared" si="336"/>
        <v>0</v>
      </c>
      <c r="AI253" s="81">
        <f t="shared" si="337"/>
        <v>3712.52</v>
      </c>
      <c r="AJ253" s="70"/>
      <c r="AK253" s="40">
        <f t="shared" si="339"/>
        <v>30</v>
      </c>
      <c r="AM253" s="87"/>
    </row>
    <row r="254" spans="1:39" s="40" customFormat="1" ht="12.75">
      <c r="A254" s="100"/>
      <c r="D254" s="91" t="s">
        <v>238</v>
      </c>
      <c r="E254" s="43"/>
      <c r="F254" s="43"/>
      <c r="G254" s="44"/>
      <c r="H254" s="92"/>
      <c r="I254" s="92"/>
      <c r="J254" s="92"/>
      <c r="K254" s="92"/>
      <c r="L254" s="92"/>
      <c r="M254" s="92"/>
      <c r="N254" s="92"/>
      <c r="O254" s="92"/>
      <c r="P254" s="194"/>
      <c r="Q254" s="194"/>
      <c r="V254" s="94">
        <f>SUM(V222:V253)</f>
        <v>112352</v>
      </c>
      <c r="W254" s="94">
        <f t="shared" ref="W254:AI254" si="374">SUM(W222:W253)</f>
        <v>4494.0800000000017</v>
      </c>
      <c r="X254" s="94">
        <f t="shared" si="374"/>
        <v>7864.4999999999964</v>
      </c>
      <c r="Y254" s="94">
        <f t="shared" si="374"/>
        <v>0</v>
      </c>
      <c r="Z254" s="94">
        <f t="shared" si="374"/>
        <v>12358.579999999998</v>
      </c>
      <c r="AA254" s="94">
        <f t="shared" si="374"/>
        <v>112352</v>
      </c>
      <c r="AB254" s="94">
        <f t="shared" si="374"/>
        <v>124710.58000000002</v>
      </c>
      <c r="AC254" s="94">
        <f t="shared" si="374"/>
        <v>0</v>
      </c>
      <c r="AD254" s="86">
        <f t="shared" si="374"/>
        <v>2000</v>
      </c>
      <c r="AE254" s="86">
        <f t="shared" si="374"/>
        <v>0</v>
      </c>
      <c r="AF254" s="94" t="e">
        <f t="shared" si="374"/>
        <v>#N/A</v>
      </c>
      <c r="AG254" s="94">
        <f t="shared" si="374"/>
        <v>6636.4000000000005</v>
      </c>
      <c r="AH254" s="94">
        <f t="shared" si="374"/>
        <v>0</v>
      </c>
      <c r="AI254" s="94">
        <f t="shared" si="374"/>
        <v>116074.17999999995</v>
      </c>
    </row>
    <row r="255" spans="1:39" s="40" customFormat="1" ht="12.75" customHeight="1">
      <c r="A255" s="100"/>
      <c r="D255" s="122"/>
      <c r="E255" s="43"/>
      <c r="F255" s="43"/>
      <c r="G255" s="44"/>
      <c r="H255" s="92"/>
      <c r="I255" s="92"/>
      <c r="J255" s="92"/>
      <c r="K255" s="92"/>
      <c r="L255" s="92"/>
      <c r="M255" s="92"/>
      <c r="N255" s="92"/>
      <c r="O255" s="92"/>
      <c r="P255" s="194"/>
      <c r="Q255" s="194"/>
      <c r="V255" s="83"/>
      <c r="W255" s="148"/>
      <c r="X255" s="83"/>
      <c r="Y255" s="139"/>
      <c r="Z255" s="83"/>
      <c r="AA255" s="83"/>
      <c r="AB255" s="83"/>
      <c r="AC255" s="83"/>
      <c r="AD255" s="83"/>
      <c r="AE255" s="83"/>
      <c r="AF255" s="87"/>
      <c r="AG255" s="83"/>
      <c r="AH255" s="149"/>
      <c r="AI255" s="149"/>
    </row>
    <row r="256" spans="1:39" s="40" customFormat="1" ht="13.5" customHeight="1">
      <c r="A256" s="100"/>
      <c r="D256" s="91" t="s">
        <v>235</v>
      </c>
      <c r="E256" s="43"/>
      <c r="F256" s="43"/>
      <c r="G256" s="44"/>
      <c r="H256" s="92"/>
      <c r="I256" s="92"/>
      <c r="J256" s="92"/>
      <c r="K256" s="92"/>
      <c r="L256" s="92"/>
      <c r="M256" s="92"/>
      <c r="N256" s="92"/>
      <c r="O256" s="92"/>
      <c r="P256" s="194"/>
      <c r="Q256" s="194"/>
      <c r="V256" s="83"/>
      <c r="W256" s="148"/>
      <c r="X256" s="83"/>
      <c r="Y256" s="139"/>
      <c r="Z256" s="83"/>
      <c r="AA256" s="83"/>
      <c r="AB256" s="83"/>
      <c r="AC256" s="83"/>
      <c r="AD256" s="83"/>
      <c r="AE256" s="83"/>
      <c r="AF256" s="87"/>
      <c r="AG256" s="83"/>
      <c r="AH256" s="149"/>
      <c r="AI256" s="149"/>
    </row>
    <row r="257" spans="1:39" s="40" customFormat="1" ht="33.950000000000003" customHeight="1">
      <c r="A257" s="100">
        <f>A253+1</f>
        <v>133</v>
      </c>
      <c r="B257" s="157" t="s">
        <v>90</v>
      </c>
      <c r="C257" s="157" t="s">
        <v>106</v>
      </c>
      <c r="D257" s="61" t="s">
        <v>461</v>
      </c>
      <c r="E257" s="144" t="s">
        <v>196</v>
      </c>
      <c r="F257" s="62"/>
      <c r="G257" s="151"/>
      <c r="H257" s="98" t="s">
        <v>197</v>
      </c>
      <c r="I257" s="98"/>
      <c r="J257" s="98"/>
      <c r="K257" s="98"/>
      <c r="L257" s="98"/>
      <c r="M257" s="98"/>
      <c r="N257" s="98"/>
      <c r="O257" s="98"/>
      <c r="P257" s="69">
        <v>15</v>
      </c>
      <c r="Q257" s="69" t="s">
        <v>209</v>
      </c>
      <c r="R257" s="69"/>
      <c r="S257" s="70">
        <v>0</v>
      </c>
      <c r="T257" s="71">
        <v>0</v>
      </c>
      <c r="U257" s="76">
        <f>12653/30</f>
        <v>421.76666666666665</v>
      </c>
      <c r="V257" s="77">
        <f>TRUNC(U257*P257,2)</f>
        <v>6326.5</v>
      </c>
      <c r="W257" s="78">
        <f>TRUNC(U257*P257*0.04,2)</f>
        <v>253.06</v>
      </c>
      <c r="X257" s="77">
        <f>TRUNC(U257*0.07*P257,2)</f>
        <v>442.85</v>
      </c>
      <c r="Y257" s="79">
        <f>S257</f>
        <v>0</v>
      </c>
      <c r="Z257" s="77">
        <f>TRUNC(X257+W257+(IF(Y257&gt;519,519,Y257))+IF(R257=0,0,R257*U257),2)</f>
        <v>695.91</v>
      </c>
      <c r="AA257" s="77">
        <f>TRUNC((IF(R257=0,P257*U257,(P257-R257)*U257))+(IF(Y257&lt;519,0,Y257-519)),2)+T257</f>
        <v>6326.5</v>
      </c>
      <c r="AB257" s="77">
        <f>Z257+AA257</f>
        <v>7022.41</v>
      </c>
      <c r="AC257" s="77"/>
      <c r="AD257" s="77">
        <v>500</v>
      </c>
      <c r="AE257" s="77">
        <v>0</v>
      </c>
      <c r="AF257" s="80">
        <f>IF(U257&gt;0.01,(AA257-VLOOKUP(AA257,quincenal,1))*VLOOKUP(AA257,quincenal,3)+VLOOKUP(AA257,quincenal,2)-VLOOKUP(AA257,subquincenal,2),0)</f>
        <v>804.15122400000007</v>
      </c>
      <c r="AG257" s="77">
        <f>TRUNC(IF(AF257&gt;0.01,AF257,0),2)</f>
        <v>804.15</v>
      </c>
      <c r="AH257" s="81">
        <f>TRUNC(IF(AF257&lt;0.01,-AF257,0),2)</f>
        <v>0</v>
      </c>
      <c r="AI257" s="81">
        <f>AB257-AD257-AE257-AG257+AH257</f>
        <v>5718.26</v>
      </c>
      <c r="AJ257" s="157"/>
      <c r="AK257" s="40">
        <v>1</v>
      </c>
      <c r="AM257" s="87"/>
    </row>
    <row r="258" spans="1:39" s="40" customFormat="1" ht="33.950000000000003" customHeight="1">
      <c r="A258" s="100">
        <f>A257+1</f>
        <v>134</v>
      </c>
      <c r="B258" s="157"/>
      <c r="C258" s="157"/>
      <c r="D258" s="61" t="s">
        <v>360</v>
      </c>
      <c r="E258" s="140" t="s">
        <v>282</v>
      </c>
      <c r="F258" s="140" t="s">
        <v>288</v>
      </c>
      <c r="G258" s="151"/>
      <c r="H258" s="98" t="s">
        <v>472</v>
      </c>
      <c r="I258" s="98"/>
      <c r="J258" s="98"/>
      <c r="K258" s="98"/>
      <c r="L258" s="98"/>
      <c r="M258" s="98"/>
      <c r="N258" s="98"/>
      <c r="O258" s="98"/>
      <c r="P258" s="152">
        <v>15</v>
      </c>
      <c r="Q258" s="159" t="s">
        <v>209</v>
      </c>
      <c r="R258" s="157"/>
      <c r="S258" s="157">
        <v>0</v>
      </c>
      <c r="T258" s="157">
        <v>0</v>
      </c>
      <c r="U258" s="143">
        <f>6438/30</f>
        <v>214.6</v>
      </c>
      <c r="V258" s="77">
        <f>TRUNC(U258*P258,2)</f>
        <v>3219</v>
      </c>
      <c r="W258" s="78">
        <f>TRUNC(U258*P258*0.04,2)</f>
        <v>128.76</v>
      </c>
      <c r="X258" s="77">
        <f>TRUNC(U258*0.07*P258,2)</f>
        <v>225.33</v>
      </c>
      <c r="Y258" s="79">
        <f>S258</f>
        <v>0</v>
      </c>
      <c r="Z258" s="77">
        <f>TRUNC(X258+W258+(IF(Y258&gt;519,519,Y258))+IF(R258=0,0,R258*U258),2)</f>
        <v>354.09</v>
      </c>
      <c r="AA258" s="77">
        <f>TRUNC((IF(R258=0,P258*U258,(P258-R258)*U258))+(IF(Y258&lt;519,0,Y258-519)),2)+T258</f>
        <v>3219</v>
      </c>
      <c r="AB258" s="77">
        <f>Z258+AA258</f>
        <v>3573.09</v>
      </c>
      <c r="AC258" s="77"/>
      <c r="AD258" s="77">
        <v>0</v>
      </c>
      <c r="AE258" s="77">
        <v>0</v>
      </c>
      <c r="AF258" s="80">
        <f t="shared" ref="AF258:AF259" si="375">IF(U258&gt;0.01,(AA258-VLOOKUP(AA258,quincenal,1))*VLOOKUP(AA258,quincenal,3)+VLOOKUP(AA258,quincenal,2)-VLOOKUP(AA258,subquincenal,2),0)</f>
        <v>121.04411199999998</v>
      </c>
      <c r="AG258" s="77">
        <f>TRUNC(IF(AF258&gt;0.01,AF258,0),2)</f>
        <v>121.04</v>
      </c>
      <c r="AH258" s="81">
        <f>TRUNC(IF(AF258&lt;0.01,-AF258,0),2)</f>
        <v>0</v>
      </c>
      <c r="AI258" s="81">
        <f>AB258-AD258-AE258-AG258+AH258</f>
        <v>3452.05</v>
      </c>
      <c r="AJ258" s="157"/>
      <c r="AK258" s="40">
        <f>AK257+1</f>
        <v>2</v>
      </c>
      <c r="AM258" s="87"/>
    </row>
    <row r="259" spans="1:39" s="40" customFormat="1" ht="33.950000000000003" customHeight="1">
      <c r="A259" s="100">
        <f>A258+1</f>
        <v>135</v>
      </c>
      <c r="B259" s="157"/>
      <c r="C259" s="157"/>
      <c r="D259" s="61" t="s">
        <v>505</v>
      </c>
      <c r="E259" s="140"/>
      <c r="F259" s="140"/>
      <c r="G259" s="151"/>
      <c r="H259" s="98" t="s">
        <v>472</v>
      </c>
      <c r="I259" s="98"/>
      <c r="J259" s="98"/>
      <c r="K259" s="98"/>
      <c r="L259" s="98"/>
      <c r="M259" s="98"/>
      <c r="N259" s="98"/>
      <c r="O259" s="98"/>
      <c r="P259" s="127">
        <v>15</v>
      </c>
      <c r="Q259" s="127" t="s">
        <v>209</v>
      </c>
      <c r="R259" s="127"/>
      <c r="S259" s="132">
        <v>0</v>
      </c>
      <c r="T259" s="133">
        <v>0</v>
      </c>
      <c r="U259" s="76">
        <f>5164/30</f>
        <v>172.13333333333333</v>
      </c>
      <c r="V259" s="79">
        <f t="shared" ref="V259" si="376">TRUNC(U259*P259,2)</f>
        <v>2582</v>
      </c>
      <c r="W259" s="135">
        <f t="shared" ref="W259" si="377">TRUNC(U259*P259*0.04,2)</f>
        <v>103.28</v>
      </c>
      <c r="X259" s="79">
        <f t="shared" ref="X259" si="378">TRUNC(U259*0.07*P259,2)</f>
        <v>180.74</v>
      </c>
      <c r="Y259" s="79">
        <f t="shared" ref="Y259" si="379">S259</f>
        <v>0</v>
      </c>
      <c r="Z259" s="79">
        <f t="shared" ref="Z259" si="380">TRUNC(X259+W259+(IF(Y259&gt;519,519,Y259))+IF(R259=0,0,R259*U259),2)</f>
        <v>284.02</v>
      </c>
      <c r="AA259" s="79">
        <f t="shared" ref="AA259" si="381">TRUNC((IF(R259=0,P259*U259,(P259-R259)*U259))+(IF(Y259&lt;519,0,Y259-519)),2)+T259</f>
        <v>2582</v>
      </c>
      <c r="AB259" s="79">
        <f t="shared" ref="AB259" si="382">Z259+AA259</f>
        <v>2866.02</v>
      </c>
      <c r="AC259" s="79"/>
      <c r="AD259" s="79"/>
      <c r="AE259" s="79">
        <v>0</v>
      </c>
      <c r="AF259" s="80">
        <f t="shared" si="375"/>
        <v>16.488511999999986</v>
      </c>
      <c r="AG259" s="79">
        <f t="shared" ref="AG259" si="383">TRUNC(IF(AF259&gt;0.01,AF259,0),2)</f>
        <v>16.48</v>
      </c>
      <c r="AH259" s="136">
        <f t="shared" ref="AH259" si="384">TRUNC(IF(AF259&lt;0.01,-AF259,0),2)</f>
        <v>0</v>
      </c>
      <c r="AI259" s="136">
        <f t="shared" ref="AI259" si="385">AB259-AD259-AE259-AG259+AH259</f>
        <v>2849.54</v>
      </c>
      <c r="AJ259" s="157"/>
      <c r="AK259" s="40">
        <f t="shared" ref="AK259:AK260" si="386">AK258+1</f>
        <v>3</v>
      </c>
      <c r="AM259" s="87"/>
    </row>
    <row r="260" spans="1:39" s="40" customFormat="1" ht="33.950000000000003" customHeight="1">
      <c r="A260" s="100">
        <f>A259+1</f>
        <v>136</v>
      </c>
      <c r="B260" s="157"/>
      <c r="C260" s="157"/>
      <c r="D260" s="61" t="s">
        <v>473</v>
      </c>
      <c r="E260" s="140"/>
      <c r="F260" s="140"/>
      <c r="G260" s="151"/>
      <c r="H260" s="98" t="s">
        <v>472</v>
      </c>
      <c r="I260" s="98"/>
      <c r="J260" s="98"/>
      <c r="K260" s="98"/>
      <c r="L260" s="98"/>
      <c r="M260" s="98"/>
      <c r="N260" s="98"/>
      <c r="O260" s="98"/>
      <c r="P260" s="127">
        <v>15</v>
      </c>
      <c r="Q260" s="127" t="s">
        <v>209</v>
      </c>
      <c r="R260" s="127"/>
      <c r="S260" s="132">
        <v>0</v>
      </c>
      <c r="T260" s="133">
        <v>0</v>
      </c>
      <c r="U260" s="76">
        <f t="shared" ref="U260" si="387">5164/30</f>
        <v>172.13333333333333</v>
      </c>
      <c r="V260" s="79">
        <f t="shared" ref="V260" si="388">TRUNC(U260*P260,2)</f>
        <v>2582</v>
      </c>
      <c r="W260" s="135">
        <f t="shared" ref="W260" si="389">TRUNC(U260*P260*0.04,2)</f>
        <v>103.28</v>
      </c>
      <c r="X260" s="79">
        <f t="shared" ref="X260" si="390">TRUNC(U260*0.07*P260,2)</f>
        <v>180.74</v>
      </c>
      <c r="Y260" s="79">
        <f t="shared" ref="Y260" si="391">S260</f>
        <v>0</v>
      </c>
      <c r="Z260" s="79">
        <f t="shared" ref="Z260" si="392">TRUNC(X260+W260+(IF(Y260&gt;519,519,Y260))+IF(R260=0,0,R260*U260),2)</f>
        <v>284.02</v>
      </c>
      <c r="AA260" s="79">
        <f t="shared" ref="AA260" si="393">TRUNC((IF(R260=0,P260*U260,(P260-R260)*U260))+(IF(Y260&lt;519,0,Y260-519)),2)+T260</f>
        <v>2582</v>
      </c>
      <c r="AB260" s="79">
        <f t="shared" ref="AB260" si="394">Z260+AA260</f>
        <v>2866.02</v>
      </c>
      <c r="AC260" s="79"/>
      <c r="AD260" s="79"/>
      <c r="AE260" s="79">
        <v>0</v>
      </c>
      <c r="AF260" s="80">
        <f t="shared" ref="AF260" si="395">IF(U260&gt;0.01,(AA260-VLOOKUP(AA260,quincenal,1))*VLOOKUP(AA260,quincenal,3)+VLOOKUP(AA260,quincenal,2)-VLOOKUP(AA260,subquincenal,2),0)</f>
        <v>16.488511999999986</v>
      </c>
      <c r="AG260" s="79">
        <f t="shared" ref="AG260" si="396">TRUNC(IF(AF260&gt;0.01,AF260,0),2)</f>
        <v>16.48</v>
      </c>
      <c r="AH260" s="136">
        <f t="shared" ref="AH260" si="397">TRUNC(IF(AF260&lt;0.01,-AF260,0),2)</f>
        <v>0</v>
      </c>
      <c r="AI260" s="136">
        <f t="shared" ref="AI260" si="398">AB260-AD260-AE260-AG260+AH260</f>
        <v>2849.54</v>
      </c>
      <c r="AJ260" s="157"/>
      <c r="AK260" s="40">
        <f t="shared" si="386"/>
        <v>4</v>
      </c>
      <c r="AM260" s="87"/>
    </row>
    <row r="261" spans="1:39" s="40" customFormat="1" ht="12.75">
      <c r="A261" s="100"/>
      <c r="D261" s="91" t="s">
        <v>235</v>
      </c>
      <c r="E261" s="43"/>
      <c r="F261" s="43"/>
      <c r="G261" s="193"/>
      <c r="H261" s="92"/>
      <c r="I261" s="92"/>
      <c r="J261" s="92"/>
      <c r="K261" s="92"/>
      <c r="L261" s="92"/>
      <c r="M261" s="92"/>
      <c r="N261" s="92"/>
      <c r="O261" s="92"/>
      <c r="P261" s="194"/>
      <c r="Q261" s="194"/>
      <c r="V261" s="94">
        <f>SUM(V257:V260)</f>
        <v>14709.5</v>
      </c>
      <c r="W261" s="94">
        <f t="shared" ref="W261:AI261" si="399">SUM(W257:W260)</f>
        <v>588.38</v>
      </c>
      <c r="X261" s="94">
        <f t="shared" si="399"/>
        <v>1029.6600000000001</v>
      </c>
      <c r="Y261" s="94">
        <f t="shared" si="399"/>
        <v>0</v>
      </c>
      <c r="Z261" s="94">
        <f t="shared" si="399"/>
        <v>1618.04</v>
      </c>
      <c r="AA261" s="94">
        <f t="shared" si="399"/>
        <v>14709.5</v>
      </c>
      <c r="AB261" s="94">
        <f t="shared" si="399"/>
        <v>16327.54</v>
      </c>
      <c r="AC261" s="94">
        <f t="shared" si="399"/>
        <v>0</v>
      </c>
      <c r="AD261" s="86">
        <f t="shared" si="399"/>
        <v>500</v>
      </c>
      <c r="AE261" s="86">
        <f t="shared" si="399"/>
        <v>0</v>
      </c>
      <c r="AF261" s="94">
        <f t="shared" si="399"/>
        <v>958.17236000000003</v>
      </c>
      <c r="AG261" s="94">
        <f t="shared" si="399"/>
        <v>958.15</v>
      </c>
      <c r="AH261" s="94">
        <f t="shared" si="399"/>
        <v>0</v>
      </c>
      <c r="AI261" s="94">
        <f t="shared" si="399"/>
        <v>14869.390000000003</v>
      </c>
    </row>
    <row r="262" spans="1:39" s="40" customFormat="1">
      <c r="A262" s="100"/>
      <c r="D262" s="122"/>
      <c r="E262" s="43"/>
      <c r="F262" s="43"/>
      <c r="G262" s="193"/>
      <c r="H262" s="92"/>
      <c r="I262" s="92"/>
      <c r="J262" s="92"/>
      <c r="K262" s="92"/>
      <c r="L262" s="92"/>
      <c r="M262" s="92"/>
      <c r="N262" s="92"/>
      <c r="O262" s="92"/>
      <c r="P262" s="194"/>
      <c r="Q262" s="194"/>
      <c r="V262" s="83"/>
      <c r="W262" s="148"/>
      <c r="X262" s="83"/>
      <c r="Y262" s="139"/>
      <c r="Z262" s="83"/>
      <c r="AA262" s="83"/>
      <c r="AB262" s="83"/>
      <c r="AC262" s="83"/>
      <c r="AD262" s="83"/>
      <c r="AE262" s="83"/>
      <c r="AF262" s="87"/>
      <c r="AG262" s="83"/>
      <c r="AH262" s="149"/>
      <c r="AI262" s="149"/>
      <c r="AL262" s="52"/>
    </row>
    <row r="263" spans="1:39" s="40" customFormat="1" ht="12.75">
      <c r="A263" s="100"/>
      <c r="H263" s="203"/>
      <c r="I263" s="203"/>
      <c r="J263" s="203"/>
      <c r="K263" s="203"/>
      <c r="L263" s="203"/>
      <c r="M263" s="203"/>
      <c r="N263" s="203"/>
      <c r="O263" s="203"/>
      <c r="AD263" s="52"/>
      <c r="AE263" s="52"/>
      <c r="AL263" s="52"/>
    </row>
    <row r="264" spans="1:39" s="40" customFormat="1">
      <c r="A264" s="100"/>
      <c r="D264" s="122"/>
      <c r="E264" s="43"/>
      <c r="F264" s="43"/>
      <c r="G264" s="193"/>
      <c r="H264" s="92"/>
      <c r="I264" s="92"/>
      <c r="J264" s="92"/>
      <c r="K264" s="92"/>
      <c r="L264" s="92"/>
      <c r="M264" s="92"/>
      <c r="N264" s="92"/>
      <c r="O264" s="92"/>
      <c r="P264" s="194"/>
      <c r="Q264" s="194"/>
      <c r="V264" s="94">
        <f t="shared" ref="V264:AI264" si="400">V261+V254</f>
        <v>127061.5</v>
      </c>
      <c r="W264" s="94">
        <f t="shared" si="400"/>
        <v>5082.4600000000019</v>
      </c>
      <c r="X264" s="94">
        <f t="shared" si="400"/>
        <v>8894.1599999999962</v>
      </c>
      <c r="Y264" s="94">
        <f t="shared" si="400"/>
        <v>0</v>
      </c>
      <c r="Z264" s="94">
        <f t="shared" si="400"/>
        <v>13976.619999999999</v>
      </c>
      <c r="AA264" s="94">
        <f t="shared" si="400"/>
        <v>127061.5</v>
      </c>
      <c r="AB264" s="94">
        <f t="shared" si="400"/>
        <v>141038.12000000002</v>
      </c>
      <c r="AC264" s="94">
        <f t="shared" si="400"/>
        <v>0</v>
      </c>
      <c r="AD264" s="94">
        <f t="shared" si="400"/>
        <v>2500</v>
      </c>
      <c r="AE264" s="86">
        <f t="shared" si="400"/>
        <v>0</v>
      </c>
      <c r="AF264" s="94" t="e">
        <f t="shared" si="400"/>
        <v>#N/A</v>
      </c>
      <c r="AG264" s="94">
        <f t="shared" si="400"/>
        <v>7594.55</v>
      </c>
      <c r="AH264" s="94">
        <f t="shared" si="400"/>
        <v>0</v>
      </c>
      <c r="AI264" s="94">
        <f t="shared" si="400"/>
        <v>130943.56999999995</v>
      </c>
      <c r="AL264" s="87"/>
    </row>
    <row r="265" spans="1:39" s="40" customFormat="1">
      <c r="A265" s="100"/>
      <c r="D265" s="122"/>
      <c r="E265" s="43"/>
      <c r="F265" s="43"/>
      <c r="G265" s="193"/>
      <c r="H265" s="92"/>
      <c r="I265" s="92"/>
      <c r="J265" s="92"/>
      <c r="K265" s="92"/>
      <c r="L265" s="92"/>
      <c r="M265" s="92"/>
      <c r="N265" s="92"/>
      <c r="O265" s="92"/>
      <c r="P265" s="194"/>
      <c r="Q265" s="194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</row>
    <row r="266" spans="1:39" s="40" customFormat="1">
      <c r="A266" s="100"/>
      <c r="D266" s="122"/>
      <c r="E266" s="43"/>
      <c r="F266" s="43"/>
      <c r="G266" s="193"/>
      <c r="H266" s="92"/>
      <c r="I266" s="92"/>
      <c r="J266" s="92"/>
      <c r="K266" s="92"/>
      <c r="L266" s="92"/>
      <c r="M266" s="92"/>
      <c r="N266" s="92"/>
      <c r="O266" s="92"/>
      <c r="P266" s="194"/>
      <c r="Q266" s="194"/>
      <c r="V266" s="83"/>
      <c r="W266" s="148"/>
      <c r="X266" s="83"/>
      <c r="Y266" s="139"/>
      <c r="Z266" s="83"/>
      <c r="AA266" s="83"/>
      <c r="AB266" s="83"/>
      <c r="AC266" s="83"/>
      <c r="AD266" s="83"/>
      <c r="AE266" s="83"/>
      <c r="AF266" s="87"/>
      <c r="AG266" s="83"/>
      <c r="AH266" s="94"/>
      <c r="AI266" s="149"/>
    </row>
    <row r="267" spans="1:39" s="40" customFormat="1">
      <c r="A267" s="100"/>
      <c r="D267" s="122"/>
      <c r="E267" s="43"/>
      <c r="F267" s="43"/>
      <c r="G267" s="193"/>
      <c r="H267" s="92"/>
      <c r="I267" s="92"/>
      <c r="J267" s="92"/>
      <c r="K267" s="92"/>
      <c r="L267" s="92"/>
      <c r="M267" s="92"/>
      <c r="N267" s="92"/>
      <c r="O267" s="92"/>
      <c r="P267" s="194"/>
      <c r="Q267" s="194"/>
      <c r="V267" s="83"/>
      <c r="W267" s="148"/>
      <c r="X267" s="83"/>
      <c r="Y267" s="139"/>
      <c r="Z267" s="83"/>
      <c r="AA267" s="83"/>
      <c r="AB267" s="83"/>
      <c r="AC267" s="83"/>
      <c r="AD267" s="83"/>
      <c r="AE267" s="83"/>
      <c r="AF267" s="87"/>
      <c r="AG267" s="83"/>
      <c r="AH267" s="149"/>
      <c r="AI267" s="149"/>
    </row>
    <row r="268" spans="1:39" s="40" customFormat="1">
      <c r="A268" s="100"/>
      <c r="D268" s="122"/>
      <c r="E268" s="43"/>
      <c r="F268" s="43"/>
      <c r="G268" s="193"/>
      <c r="H268" s="92"/>
      <c r="I268" s="92"/>
      <c r="J268" s="92"/>
      <c r="K268" s="92"/>
      <c r="L268" s="92"/>
      <c r="M268" s="92"/>
      <c r="N268" s="92"/>
      <c r="O268" s="92"/>
      <c r="P268" s="194"/>
      <c r="Q268" s="194"/>
      <c r="V268" s="83"/>
      <c r="W268" s="148"/>
      <c r="X268" s="83"/>
      <c r="Y268" s="139"/>
      <c r="Z268" s="83"/>
      <c r="AA268" s="83"/>
      <c r="AB268" s="83"/>
      <c r="AC268" s="83"/>
      <c r="AD268" s="83"/>
      <c r="AE268" s="83"/>
      <c r="AF268" s="87"/>
      <c r="AG268" s="83"/>
      <c r="AH268" s="149"/>
      <c r="AI268" s="149"/>
    </row>
    <row r="269" spans="1:39" s="40" customFormat="1" ht="12.75">
      <c r="A269" s="100"/>
      <c r="D269" s="224" t="s">
        <v>428</v>
      </c>
      <c r="E269" s="224"/>
      <c r="F269" s="43"/>
      <c r="G269" s="44"/>
      <c r="H269" s="92"/>
      <c r="I269" s="92"/>
      <c r="J269" s="92"/>
      <c r="K269" s="92"/>
      <c r="L269" s="92"/>
      <c r="M269" s="92"/>
      <c r="N269" s="92"/>
      <c r="O269" s="92"/>
      <c r="P269" s="225" t="s">
        <v>429</v>
      </c>
      <c r="Q269" s="225"/>
      <c r="R269" s="225"/>
      <c r="S269" s="225"/>
      <c r="T269" s="225"/>
      <c r="U269" s="225"/>
      <c r="V269" s="225"/>
      <c r="W269" s="225"/>
      <c r="X269" s="225"/>
      <c r="Y269" s="94"/>
      <c r="Z269" s="94"/>
      <c r="AA269" s="94"/>
      <c r="AB269" s="94"/>
      <c r="AC269" s="94"/>
      <c r="AD269" s="86"/>
      <c r="AE269" s="86"/>
      <c r="AF269" s="94"/>
      <c r="AG269" s="94"/>
      <c r="AH269" s="219" t="s">
        <v>430</v>
      </c>
      <c r="AI269" s="219"/>
      <c r="AJ269" s="219"/>
    </row>
    <row r="270" spans="1:39" s="40" customFormat="1" ht="12.75">
      <c r="A270" s="100"/>
      <c r="D270" s="222" t="s">
        <v>369</v>
      </c>
      <c r="E270" s="222"/>
      <c r="F270" s="43"/>
      <c r="G270" s="44"/>
      <c r="H270" s="92"/>
      <c r="I270" s="92"/>
      <c r="J270" s="92"/>
      <c r="K270" s="92"/>
      <c r="L270" s="92"/>
      <c r="M270" s="92"/>
      <c r="N270" s="92"/>
      <c r="O270" s="92"/>
      <c r="P270" s="223" t="s">
        <v>23</v>
      </c>
      <c r="Q270" s="223"/>
      <c r="R270" s="223"/>
      <c r="S270" s="223"/>
      <c r="T270" s="223"/>
      <c r="U270" s="223"/>
      <c r="V270" s="223"/>
      <c r="W270" s="223"/>
      <c r="X270" s="223"/>
      <c r="Y270" s="94"/>
      <c r="Z270" s="94"/>
      <c r="AA270" s="94"/>
      <c r="AB270" s="94"/>
      <c r="AC270" s="94"/>
      <c r="AD270" s="86"/>
      <c r="AE270" s="86"/>
      <c r="AF270" s="94"/>
      <c r="AG270" s="94"/>
      <c r="AH270" s="220" t="s">
        <v>129</v>
      </c>
      <c r="AI270" s="220"/>
      <c r="AJ270" s="220"/>
    </row>
    <row r="271" spans="1:39" s="40" customFormat="1">
      <c r="A271" s="100"/>
      <c r="D271" s="122"/>
      <c r="E271" s="43"/>
      <c r="F271" s="43"/>
      <c r="G271" s="193"/>
      <c r="H271" s="92"/>
      <c r="I271" s="92"/>
      <c r="J271" s="92"/>
      <c r="K271" s="92"/>
      <c r="L271" s="92"/>
      <c r="M271" s="92"/>
      <c r="N271" s="92"/>
      <c r="O271" s="92"/>
      <c r="P271" s="194"/>
      <c r="Q271" s="194"/>
      <c r="V271" s="83"/>
      <c r="W271" s="148"/>
      <c r="X271" s="83"/>
      <c r="Y271" s="139"/>
      <c r="Z271" s="83"/>
      <c r="AA271" s="83"/>
      <c r="AB271" s="83"/>
      <c r="AC271" s="83"/>
      <c r="AD271" s="83"/>
      <c r="AE271" s="83"/>
      <c r="AF271" s="87"/>
      <c r="AG271" s="83"/>
      <c r="AH271" s="149"/>
      <c r="AI271" s="149"/>
    </row>
    <row r="272" spans="1:39" s="40" customFormat="1">
      <c r="A272" s="100"/>
      <c r="D272" s="122"/>
      <c r="E272" s="43"/>
      <c r="F272" s="43"/>
      <c r="G272" s="193"/>
      <c r="H272" s="92"/>
      <c r="I272" s="92"/>
      <c r="J272" s="92"/>
      <c r="K272" s="92"/>
      <c r="L272" s="92"/>
      <c r="M272" s="92"/>
      <c r="N272" s="92"/>
      <c r="O272" s="92"/>
      <c r="P272" s="194"/>
      <c r="Q272" s="194"/>
      <c r="V272" s="83"/>
      <c r="W272" s="148"/>
      <c r="X272" s="83"/>
      <c r="Y272" s="139"/>
      <c r="Z272" s="83"/>
      <c r="AA272" s="83"/>
      <c r="AB272" s="83"/>
      <c r="AC272" s="83"/>
      <c r="AD272" s="83"/>
      <c r="AE272" s="83"/>
      <c r="AF272" s="87"/>
      <c r="AG272" s="83"/>
      <c r="AH272" s="149"/>
      <c r="AI272" s="149"/>
    </row>
    <row r="273" spans="1:39" s="40" customFormat="1">
      <c r="A273" s="100"/>
      <c r="D273" s="122"/>
      <c r="E273" s="43"/>
      <c r="F273" s="43"/>
      <c r="G273" s="193"/>
      <c r="H273" s="92"/>
      <c r="I273" s="92"/>
      <c r="J273" s="92"/>
      <c r="K273" s="92"/>
      <c r="L273" s="92"/>
      <c r="M273" s="92"/>
      <c r="N273" s="92"/>
      <c r="O273" s="92"/>
      <c r="P273" s="194"/>
      <c r="Q273" s="194"/>
      <c r="V273" s="83"/>
      <c r="W273" s="148"/>
      <c r="X273" s="83"/>
      <c r="Y273" s="139"/>
      <c r="Z273" s="83"/>
      <c r="AA273" s="83"/>
      <c r="AB273" s="83"/>
      <c r="AC273" s="83"/>
      <c r="AD273" s="83"/>
      <c r="AE273" s="83"/>
      <c r="AF273" s="87"/>
      <c r="AG273" s="83"/>
      <c r="AH273" s="149"/>
      <c r="AI273" s="149"/>
    </row>
    <row r="274" spans="1:39" s="40" customFormat="1">
      <c r="A274" s="100"/>
      <c r="D274" s="122"/>
      <c r="E274" s="43"/>
      <c r="F274" s="43"/>
      <c r="G274" s="193"/>
      <c r="H274" s="92"/>
      <c r="I274" s="92"/>
      <c r="J274" s="92"/>
      <c r="K274" s="92"/>
      <c r="L274" s="92"/>
      <c r="M274" s="92"/>
      <c r="N274" s="92"/>
      <c r="O274" s="92"/>
      <c r="P274" s="194"/>
      <c r="Q274" s="194"/>
      <c r="V274" s="83"/>
      <c r="W274" s="148"/>
      <c r="X274" s="83"/>
      <c r="Y274" s="139"/>
      <c r="Z274" s="83"/>
      <c r="AA274" s="83"/>
      <c r="AB274" s="83"/>
      <c r="AC274" s="83"/>
      <c r="AD274" s="83"/>
      <c r="AE274" s="83"/>
      <c r="AF274" s="87"/>
      <c r="AG274" s="83"/>
      <c r="AH274" s="149"/>
      <c r="AI274" s="149"/>
    </row>
    <row r="275" spans="1:39" s="40" customFormat="1">
      <c r="A275" s="100"/>
      <c r="D275" s="122"/>
      <c r="E275" s="43"/>
      <c r="F275" s="43"/>
      <c r="G275" s="193"/>
      <c r="H275" s="92"/>
      <c r="I275" s="92"/>
      <c r="J275" s="92"/>
      <c r="K275" s="92"/>
      <c r="L275" s="92"/>
      <c r="M275" s="92"/>
      <c r="N275" s="92"/>
      <c r="O275" s="92"/>
      <c r="P275" s="194"/>
      <c r="Q275" s="194"/>
      <c r="V275" s="83"/>
      <c r="W275" s="148"/>
      <c r="X275" s="83"/>
      <c r="Y275" s="139"/>
      <c r="Z275" s="83"/>
      <c r="AA275" s="83"/>
      <c r="AB275" s="83"/>
      <c r="AC275" s="83"/>
      <c r="AD275" s="83"/>
      <c r="AE275" s="83"/>
      <c r="AF275" s="87"/>
      <c r="AG275" s="83"/>
      <c r="AH275" s="149"/>
      <c r="AI275" s="149"/>
    </row>
    <row r="276" spans="1:39" s="40" customFormat="1" ht="12.75">
      <c r="A276" s="100"/>
      <c r="D276" s="91" t="s">
        <v>140</v>
      </c>
      <c r="E276" s="43"/>
      <c r="F276" s="43"/>
      <c r="G276" s="193"/>
      <c r="H276" s="92"/>
      <c r="I276" s="92"/>
      <c r="J276" s="92"/>
      <c r="K276" s="92"/>
      <c r="L276" s="92"/>
      <c r="M276" s="92"/>
      <c r="N276" s="92"/>
      <c r="O276" s="92"/>
      <c r="P276" s="194"/>
      <c r="Q276" s="194"/>
      <c r="V276" s="83"/>
      <c r="W276" s="148"/>
      <c r="X276" s="83"/>
      <c r="Y276" s="139"/>
      <c r="Z276" s="83"/>
      <c r="AA276" s="83"/>
      <c r="AB276" s="83"/>
      <c r="AC276" s="83"/>
      <c r="AD276" s="83"/>
      <c r="AE276" s="83"/>
      <c r="AF276" s="87"/>
      <c r="AG276" s="83"/>
      <c r="AH276" s="149"/>
      <c r="AI276" s="149"/>
    </row>
    <row r="277" spans="1:39" s="40" customFormat="1" ht="38.1" customHeight="1">
      <c r="A277" s="100">
        <f>A260+1</f>
        <v>137</v>
      </c>
      <c r="B277" s="68"/>
      <c r="C277" s="68"/>
      <c r="D277" s="65" t="s">
        <v>105</v>
      </c>
      <c r="E277" s="140" t="s">
        <v>285</v>
      </c>
      <c r="F277" s="140" t="s">
        <v>286</v>
      </c>
      <c r="G277" s="204"/>
      <c r="H277" s="88" t="s">
        <v>141</v>
      </c>
      <c r="I277" s="88"/>
      <c r="J277" s="88"/>
      <c r="K277" s="88"/>
      <c r="L277" s="88"/>
      <c r="M277" s="88"/>
      <c r="N277" s="88"/>
      <c r="O277" s="88"/>
      <c r="P277" s="205">
        <v>15</v>
      </c>
      <c r="Q277" s="205" t="s">
        <v>209</v>
      </c>
      <c r="R277" s="206"/>
      <c r="S277" s="207">
        <v>0</v>
      </c>
      <c r="T277" s="208">
        <v>0</v>
      </c>
      <c r="U277" s="103">
        <f>3078/30</f>
        <v>102.6</v>
      </c>
      <c r="V277" s="77">
        <f>TRUNC(U277*P277,2)</f>
        <v>1539</v>
      </c>
      <c r="W277" s="78">
        <f>TRUNC(U277*P277*0.04,2)</f>
        <v>61.56</v>
      </c>
      <c r="X277" s="77">
        <f>TRUNC(U277*0.07*P277,2)</f>
        <v>107.73</v>
      </c>
      <c r="Y277" s="79">
        <f>S277</f>
        <v>0</v>
      </c>
      <c r="Z277" s="77">
        <f>TRUNC(X277+W277+(IF(Y277&gt;519,519,Y277))+IF(R277=0,0,R277*U277),2)</f>
        <v>169.29</v>
      </c>
      <c r="AA277" s="77">
        <f>TRUNC((IF(R277=0,P277*U277,(P277-R277)*U277))+(IF(Y277&lt;519,0,Y277-519)),2)+T277</f>
        <v>1539</v>
      </c>
      <c r="AB277" s="77">
        <f>Z277+AA277</f>
        <v>1708.29</v>
      </c>
      <c r="AC277" s="77"/>
      <c r="AD277" s="77"/>
      <c r="AE277" s="77">
        <v>0</v>
      </c>
      <c r="AF277" s="80">
        <f>IF(U277&gt;0.01,(AA277-VLOOKUP(AA277,quincenal,1))*VLOOKUP(AA277,quincenal,3)+VLOOKUP(AA277,quincenal,2)-VLOOKUP(AA277,subquincenal,2),0)</f>
        <v>-113.22183999999997</v>
      </c>
      <c r="AG277" s="77">
        <f>TRUNC(IF(AF277&gt;0.01,AF277,0),2)</f>
        <v>0</v>
      </c>
      <c r="AH277" s="81">
        <f>TRUNC(IF(AF277&lt;0.01,-AF277,0),2)</f>
        <v>113.22</v>
      </c>
      <c r="AI277" s="81">
        <f>AB277-AD277-AE277-AG277+AH277</f>
        <v>1821.51</v>
      </c>
      <c r="AJ277" s="70"/>
      <c r="AK277" s="40">
        <v>2</v>
      </c>
      <c r="AM277" s="87"/>
    </row>
    <row r="278" spans="1:39" s="40" customFormat="1" ht="38.1" customHeight="1">
      <c r="A278" s="100">
        <f t="shared" ref="A278:A289" si="401">A277+1</f>
        <v>138</v>
      </c>
      <c r="B278" s="68"/>
      <c r="C278" s="68"/>
      <c r="D278" s="65" t="s">
        <v>244</v>
      </c>
      <c r="E278" s="140"/>
      <c r="F278" s="140"/>
      <c r="G278" s="204"/>
      <c r="H278" s="88" t="s">
        <v>141</v>
      </c>
      <c r="I278" s="88"/>
      <c r="J278" s="88"/>
      <c r="K278" s="88"/>
      <c r="L278" s="88"/>
      <c r="M278" s="88"/>
      <c r="N278" s="88"/>
      <c r="O278" s="88"/>
      <c r="P278" s="127">
        <v>15</v>
      </c>
      <c r="Q278" s="127" t="s">
        <v>209</v>
      </c>
      <c r="R278" s="127"/>
      <c r="S278" s="132">
        <v>0</v>
      </c>
      <c r="T278" s="133">
        <v>0</v>
      </c>
      <c r="U278" s="76">
        <f>3570/30</f>
        <v>119</v>
      </c>
      <c r="V278" s="79">
        <f t="shared" ref="V278" si="402">TRUNC(U278*P278,2)</f>
        <v>1785</v>
      </c>
      <c r="W278" s="135">
        <f t="shared" ref="W278" si="403">TRUNC(U278*P278*0.04,2)</f>
        <v>71.400000000000006</v>
      </c>
      <c r="X278" s="79">
        <f t="shared" ref="X278" si="404">TRUNC(U278*0.07*P278,2)</f>
        <v>124.95</v>
      </c>
      <c r="Y278" s="79">
        <f t="shared" ref="Y278" si="405">S278</f>
        <v>0</v>
      </c>
      <c r="Z278" s="79">
        <f t="shared" ref="Z278" si="406">TRUNC(X278+W278+(IF(Y278&gt;519,519,Y278))+IF(R278=0,0,R278*U278),2)</f>
        <v>196.35</v>
      </c>
      <c r="AA278" s="79">
        <f t="shared" ref="AA278" si="407">TRUNC((IF(R278=0,P278*U278,(P278-R278)*U278))+(IF(Y278&lt;519,0,Y278-519)),2)+T278</f>
        <v>1785</v>
      </c>
      <c r="AB278" s="79">
        <f t="shared" ref="AB278" si="408">Z278+AA278</f>
        <v>1981.35</v>
      </c>
      <c r="AC278" s="79"/>
      <c r="AD278" s="79"/>
      <c r="AE278" s="79">
        <v>0</v>
      </c>
      <c r="AF278" s="80">
        <f t="shared" ref="AF278" si="409">IF(U278&gt;0.01,(AA278-VLOOKUP(AA278,quincenal,1))*VLOOKUP(AA278,quincenal,3)+VLOOKUP(AA278,quincenal,2)-VLOOKUP(AA278,subquincenal,2),0)</f>
        <v>-85.477839999999972</v>
      </c>
      <c r="AG278" s="79">
        <f t="shared" ref="AG278" si="410">TRUNC(IF(AF278&gt;0.01,AF278,0),2)</f>
        <v>0</v>
      </c>
      <c r="AH278" s="136">
        <f t="shared" ref="AH278" si="411">TRUNC(IF(AF278&lt;0.01,-AF278,0),2)</f>
        <v>85.47</v>
      </c>
      <c r="AI278" s="136">
        <f t="shared" ref="AI278" si="412">AB278-AD278-AE278-AG278+AH278</f>
        <v>2066.8199999999997</v>
      </c>
      <c r="AJ278" s="70"/>
      <c r="AM278" s="87"/>
    </row>
    <row r="279" spans="1:39" s="40" customFormat="1" ht="38.1" customHeight="1">
      <c r="A279" s="100">
        <f t="shared" si="401"/>
        <v>139</v>
      </c>
      <c r="B279" s="68"/>
      <c r="C279" s="68"/>
      <c r="D279" s="61" t="s">
        <v>169</v>
      </c>
      <c r="E279" s="140" t="s">
        <v>458</v>
      </c>
      <c r="F279" s="140" t="s">
        <v>203</v>
      </c>
      <c r="G279" s="141">
        <v>36892</v>
      </c>
      <c r="H279" s="88" t="s">
        <v>141</v>
      </c>
      <c r="I279" s="88"/>
      <c r="J279" s="88"/>
      <c r="K279" s="88"/>
      <c r="L279" s="88"/>
      <c r="M279" s="88"/>
      <c r="N279" s="88"/>
      <c r="O279" s="88"/>
      <c r="P279" s="127">
        <v>15</v>
      </c>
      <c r="Q279" s="127" t="s">
        <v>209</v>
      </c>
      <c r="R279" s="127"/>
      <c r="S279" s="132">
        <v>0</v>
      </c>
      <c r="T279" s="133">
        <v>0</v>
      </c>
      <c r="U279" s="76">
        <f>2966/30</f>
        <v>98.86666666666666</v>
      </c>
      <c r="V279" s="79">
        <f>TRUNC(U279*P279,2)</f>
        <v>1483</v>
      </c>
      <c r="W279" s="135">
        <f>TRUNC(U279*P279*0.04,2)</f>
        <v>59.32</v>
      </c>
      <c r="X279" s="79">
        <f>TRUNC(U279*0.07*P279,2)</f>
        <v>103.81</v>
      </c>
      <c r="Y279" s="79">
        <f>S279</f>
        <v>0</v>
      </c>
      <c r="Z279" s="79">
        <f>TRUNC(X279+W279+(IF(Y279&gt;519,519,Y279))+IF(R279=0,0,R279*U279),2)</f>
        <v>163.13</v>
      </c>
      <c r="AA279" s="79">
        <f>TRUNC((IF(R279=0,P279*U279,(P279-R279)*U279))+(IF(Y279&lt;519,0,Y279-519)),2)+T279</f>
        <v>1483</v>
      </c>
      <c r="AB279" s="79">
        <f>Z279+AA279</f>
        <v>1646.13</v>
      </c>
      <c r="AC279" s="79"/>
      <c r="AD279" s="79"/>
      <c r="AE279" s="79">
        <v>0</v>
      </c>
      <c r="AF279" s="80">
        <f>IF(U279&gt;0.01,(AA279-VLOOKUP(AA279,quincenal,1))*VLOOKUP(AA279,quincenal,3)+VLOOKUP(AA279,quincenal,2)-VLOOKUP(AA279,subquincenal,2),0)</f>
        <v>-116.80583999999998</v>
      </c>
      <c r="AG279" s="79">
        <f>TRUNC(IF(AF279&gt;0.01,AF279,0),2)</f>
        <v>0</v>
      </c>
      <c r="AH279" s="136">
        <f>TRUNC(IF(AF279&lt;0.01,-AF279,0),2)</f>
        <v>116.8</v>
      </c>
      <c r="AI279" s="136">
        <f>AB279-AD279-AE279-AG279+AH279</f>
        <v>1762.93</v>
      </c>
      <c r="AJ279" s="70"/>
      <c r="AK279" s="40">
        <v>3</v>
      </c>
      <c r="AM279" s="87"/>
    </row>
    <row r="280" spans="1:39" s="40" customFormat="1" ht="38.1" customHeight="1">
      <c r="A280" s="100">
        <f t="shared" si="401"/>
        <v>140</v>
      </c>
      <c r="B280" s="68"/>
      <c r="C280" s="68"/>
      <c r="D280" s="65" t="s">
        <v>352</v>
      </c>
      <c r="E280" s="97"/>
      <c r="F280" s="97"/>
      <c r="G280" s="204"/>
      <c r="H280" s="88" t="s">
        <v>141</v>
      </c>
      <c r="I280" s="88"/>
      <c r="J280" s="88"/>
      <c r="K280" s="88"/>
      <c r="L280" s="88"/>
      <c r="M280" s="88"/>
      <c r="N280" s="88"/>
      <c r="O280" s="88"/>
      <c r="P280" s="205">
        <v>15</v>
      </c>
      <c r="Q280" s="205" t="s">
        <v>209</v>
      </c>
      <c r="R280" s="206"/>
      <c r="S280" s="207">
        <v>0</v>
      </c>
      <c r="T280" s="208">
        <v>0</v>
      </c>
      <c r="U280" s="103">
        <f>1630/30</f>
        <v>54.333333333333336</v>
      </c>
      <c r="V280" s="77">
        <f>TRUNC(U280*P280,2)</f>
        <v>815</v>
      </c>
      <c r="W280" s="78">
        <f>TRUNC(U280*P280*0.04,2)</f>
        <v>32.6</v>
      </c>
      <c r="X280" s="77">
        <f>TRUNC(U280*0.07*P280,2)</f>
        <v>57.05</v>
      </c>
      <c r="Y280" s="79">
        <f>S280</f>
        <v>0</v>
      </c>
      <c r="Z280" s="77">
        <f>TRUNC(X280+W280+(IF(Y280&gt;519,519,Y280))+IF(R280=0,0,R280*U280),2)</f>
        <v>89.65</v>
      </c>
      <c r="AA280" s="77">
        <f>TRUNC((IF(R280=0,P280*U280,(P280-R280)*U280))+(IF(Y280&lt;519,0,Y280-519)),2)+T280</f>
        <v>815</v>
      </c>
      <c r="AB280" s="77">
        <f>Z280+AA280</f>
        <v>904.65</v>
      </c>
      <c r="AC280" s="77"/>
      <c r="AD280" s="77"/>
      <c r="AE280" s="77">
        <v>0</v>
      </c>
      <c r="AF280" s="80">
        <f>IF(U280&gt;0.01,(AA280-VLOOKUP(AA280,quincenal,1))*VLOOKUP(AA280,quincenal,3)+VLOOKUP(AA280,quincenal,2)-VLOOKUP(AA280,subquincenal,2),0)</f>
        <v>-159.70783999999998</v>
      </c>
      <c r="AG280" s="77">
        <f>TRUNC(IF(AF280&gt;0.01,AF280,0),2)</f>
        <v>0</v>
      </c>
      <c r="AH280" s="81">
        <f>TRUNC(IF(AF280&lt;0.01,-AF280,0),2)</f>
        <v>159.69999999999999</v>
      </c>
      <c r="AI280" s="81">
        <f>AB280-AD280-AE280-AG280+AH280</f>
        <v>1064.3499999999999</v>
      </c>
      <c r="AJ280" s="70"/>
      <c r="AK280" s="40">
        <v>4</v>
      </c>
      <c r="AM280" s="87"/>
    </row>
    <row r="281" spans="1:39" s="40" customFormat="1" ht="38.1" customHeight="1">
      <c r="A281" s="100">
        <f t="shared" si="401"/>
        <v>141</v>
      </c>
      <c r="B281" s="68"/>
      <c r="C281" s="68"/>
      <c r="D281" s="125" t="s">
        <v>357</v>
      </c>
      <c r="E281" s="140"/>
      <c r="F281" s="140"/>
      <c r="G281" s="141"/>
      <c r="H281" s="66" t="s">
        <v>141</v>
      </c>
      <c r="I281" s="66"/>
      <c r="J281" s="66"/>
      <c r="K281" s="66"/>
      <c r="L281" s="66"/>
      <c r="M281" s="66"/>
      <c r="N281" s="66"/>
      <c r="O281" s="66"/>
      <c r="P281" s="205">
        <v>15</v>
      </c>
      <c r="Q281" s="205" t="s">
        <v>209</v>
      </c>
      <c r="R281" s="69"/>
      <c r="S281" s="70">
        <v>0</v>
      </c>
      <c r="T281" s="71">
        <v>0</v>
      </c>
      <c r="U281" s="76">
        <f>2458/30</f>
        <v>81.933333333333337</v>
      </c>
      <c r="V281" s="77">
        <f>TRUNC(U281*P281,2)</f>
        <v>1229</v>
      </c>
      <c r="W281" s="78">
        <f>TRUNC(U281*P281*0.04,2)</f>
        <v>49.16</v>
      </c>
      <c r="X281" s="77">
        <f>TRUNC(U281*0.07*P281,2)</f>
        <v>86.03</v>
      </c>
      <c r="Y281" s="79">
        <f>S281</f>
        <v>0</v>
      </c>
      <c r="Z281" s="77">
        <f>TRUNC(X281+W281+(IF(Y281&gt;519,519,Y281))+IF(R281=0,0,R281*U281),2)</f>
        <v>135.19</v>
      </c>
      <c r="AA281" s="77">
        <f>TRUNC((IF(R281=0,P281*U281,(P281-R281)*U281))+(IF(Y281&lt;519,0,Y281-519)),2)+T281</f>
        <v>1229</v>
      </c>
      <c r="AB281" s="77">
        <f>Z281+AA281</f>
        <v>1364.19</v>
      </c>
      <c r="AC281" s="77"/>
      <c r="AD281" s="77">
        <v>0</v>
      </c>
      <c r="AE281" s="77">
        <v>0</v>
      </c>
      <c r="AF281" s="80">
        <f>IF(U281&gt;0.01,(AA281-VLOOKUP(AA281,quincenal,1))*VLOOKUP(AA281,quincenal,3)+VLOOKUP(AA281,quincenal,2)-VLOOKUP(AA281,subquincenal,2),0)</f>
        <v>-133.06183999999996</v>
      </c>
      <c r="AG281" s="77">
        <f>TRUNC(IF(AF281&gt;0.01,AF281,0),2)</f>
        <v>0</v>
      </c>
      <c r="AH281" s="81">
        <f>TRUNC(IF(AF281&lt;0.01,-AF281,0),2)</f>
        <v>133.06</v>
      </c>
      <c r="AI281" s="81">
        <f>AB281-AD281-AE281-AG281+AH281</f>
        <v>1497.25</v>
      </c>
      <c r="AJ281" s="70"/>
      <c r="AK281" s="40">
        <v>5</v>
      </c>
      <c r="AM281" s="87"/>
    </row>
    <row r="282" spans="1:39" s="40" customFormat="1" ht="38.1" customHeight="1">
      <c r="A282" s="100">
        <f t="shared" si="401"/>
        <v>142</v>
      </c>
      <c r="B282" s="68" t="s">
        <v>90</v>
      </c>
      <c r="C282" s="68" t="s">
        <v>99</v>
      </c>
      <c r="D282" s="124" t="s">
        <v>102</v>
      </c>
      <c r="E282" s="140" t="s">
        <v>150</v>
      </c>
      <c r="F282" s="140" t="s">
        <v>175</v>
      </c>
      <c r="G282" s="141">
        <v>39083</v>
      </c>
      <c r="H282" s="66" t="s">
        <v>141</v>
      </c>
      <c r="I282" s="66"/>
      <c r="J282" s="66"/>
      <c r="K282" s="66"/>
      <c r="L282" s="66"/>
      <c r="M282" s="66"/>
      <c r="N282" s="66"/>
      <c r="O282" s="66"/>
      <c r="P282" s="205">
        <v>15</v>
      </c>
      <c r="Q282" s="205" t="s">
        <v>209</v>
      </c>
      <c r="R282" s="69"/>
      <c r="S282" s="70">
        <v>0</v>
      </c>
      <c r="T282" s="71">
        <v>0</v>
      </c>
      <c r="U282" s="76">
        <f>3423/30</f>
        <v>114.1</v>
      </c>
      <c r="V282" s="77">
        <f t="shared" ref="V282:V289" si="413">TRUNC(U282*P282,2)</f>
        <v>1711.5</v>
      </c>
      <c r="W282" s="78">
        <f t="shared" ref="W282:W289" si="414">TRUNC(U282*P282*0.04,2)</f>
        <v>68.459999999999994</v>
      </c>
      <c r="X282" s="77">
        <f t="shared" ref="X282:X289" si="415">TRUNC(U282*0.07*P282,2)</f>
        <v>119.8</v>
      </c>
      <c r="Y282" s="79">
        <f t="shared" ref="Y282:Y289" si="416">S282</f>
        <v>0</v>
      </c>
      <c r="Z282" s="77">
        <f t="shared" ref="Z282:Z289" si="417">TRUNC(X282+W282+(IF(Y282&gt;519,519,Y282))+IF(R282=0,0,R282*U282),2)</f>
        <v>188.26</v>
      </c>
      <c r="AA282" s="77">
        <f t="shared" ref="AA282:AA289" si="418">TRUNC((IF(R282=0,P282*U282,(P282-R282)*U282))+(IF(Y282&lt;519,0,Y282-519)),2)+T282</f>
        <v>1711.5</v>
      </c>
      <c r="AB282" s="77">
        <f t="shared" ref="AB282:AB289" si="419">Z282+AA282</f>
        <v>1899.76</v>
      </c>
      <c r="AC282" s="77"/>
      <c r="AD282" s="77">
        <v>0</v>
      </c>
      <c r="AE282" s="77">
        <v>0</v>
      </c>
      <c r="AF282" s="80">
        <f t="shared" ref="AF282:AF289" si="420">IF(U282&gt;0.01,(AA282-VLOOKUP(AA282,quincenal,1))*VLOOKUP(AA282,quincenal,3)+VLOOKUP(AA282,quincenal,2)-VLOOKUP(AA282,subquincenal,2),0)</f>
        <v>-102.18183999999998</v>
      </c>
      <c r="AG282" s="77">
        <f t="shared" ref="AG282:AG289" si="421">TRUNC(IF(AF282&gt;0.01,AF282,0),2)</f>
        <v>0</v>
      </c>
      <c r="AH282" s="81">
        <f t="shared" ref="AH282:AH289" si="422">TRUNC(IF(AF282&lt;0.01,-AF282,0),2)</f>
        <v>102.18</v>
      </c>
      <c r="AI282" s="81">
        <f t="shared" ref="AI282:AI289" si="423">AB282-AD282-AE282-AG282+AH282</f>
        <v>2001.94</v>
      </c>
      <c r="AJ282" s="70"/>
      <c r="AK282" s="40">
        <v>6</v>
      </c>
      <c r="AM282" s="87"/>
    </row>
    <row r="283" spans="1:39" s="40" customFormat="1" ht="38.1" customHeight="1">
      <c r="A283" s="100">
        <f t="shared" si="401"/>
        <v>143</v>
      </c>
      <c r="B283" s="146"/>
      <c r="C283" s="68"/>
      <c r="D283" s="65" t="s">
        <v>104</v>
      </c>
      <c r="E283" s="97" t="s">
        <v>329</v>
      </c>
      <c r="F283" s="97" t="s">
        <v>330</v>
      </c>
      <c r="G283" s="204"/>
      <c r="H283" s="66" t="s">
        <v>141</v>
      </c>
      <c r="I283" s="66"/>
      <c r="J283" s="66"/>
      <c r="K283" s="66"/>
      <c r="L283" s="66"/>
      <c r="M283" s="66"/>
      <c r="N283" s="66"/>
      <c r="O283" s="66"/>
      <c r="P283" s="205">
        <v>15</v>
      </c>
      <c r="Q283" s="205" t="s">
        <v>209</v>
      </c>
      <c r="R283" s="206"/>
      <c r="S283" s="207">
        <v>0</v>
      </c>
      <c r="T283" s="208">
        <v>0</v>
      </c>
      <c r="U283" s="76">
        <f>3570/30</f>
        <v>119</v>
      </c>
      <c r="V283" s="77">
        <f>TRUNC(U283*P283,2)</f>
        <v>1785</v>
      </c>
      <c r="W283" s="78">
        <f>TRUNC(U283*P283*0.04,2)</f>
        <v>71.400000000000006</v>
      </c>
      <c r="X283" s="77">
        <f>TRUNC(U283*0.07*P283,2)</f>
        <v>124.95</v>
      </c>
      <c r="Y283" s="79">
        <f>S283</f>
        <v>0</v>
      </c>
      <c r="Z283" s="77">
        <f>TRUNC(X283+W283+(IF(Y283&gt;519,519,Y283))+IF(R283=0,0,R283*U283),2)</f>
        <v>196.35</v>
      </c>
      <c r="AA283" s="77">
        <f>TRUNC((IF(R283=0,P283*U283,(P283-R283)*U283))+(IF(Y283&lt;519,0,Y283-519)),2)+T283</f>
        <v>1785</v>
      </c>
      <c r="AB283" s="77">
        <f>Z283+AA283</f>
        <v>1981.35</v>
      </c>
      <c r="AC283" s="77"/>
      <c r="AD283" s="77">
        <v>0</v>
      </c>
      <c r="AE283" s="77">
        <v>0</v>
      </c>
      <c r="AF283" s="80">
        <f>IF(U283&gt;0.01,(AA283-VLOOKUP(AA283,quincenal,1))*VLOOKUP(AA283,quincenal,3)+VLOOKUP(AA283,quincenal,2)-VLOOKUP(AA283,subquincenal,2),0)</f>
        <v>-85.477839999999972</v>
      </c>
      <c r="AG283" s="77">
        <f>TRUNC(IF(AF283&gt;0.01,AF283,0),2)</f>
        <v>0</v>
      </c>
      <c r="AH283" s="81">
        <f>TRUNC(IF(AF283&lt;0.01,-AF283,0),2)</f>
        <v>85.47</v>
      </c>
      <c r="AI283" s="81">
        <f>AB283-AD283-AE283-AG283+AH283</f>
        <v>2066.8199999999997</v>
      </c>
      <c r="AJ283" s="70"/>
      <c r="AK283" s="40">
        <v>7</v>
      </c>
      <c r="AM283" s="87"/>
    </row>
    <row r="284" spans="1:39" s="40" customFormat="1" ht="38.1" customHeight="1">
      <c r="A284" s="100">
        <f t="shared" si="401"/>
        <v>144</v>
      </c>
      <c r="B284" s="68"/>
      <c r="C284" s="68"/>
      <c r="D284" s="125" t="s">
        <v>353</v>
      </c>
      <c r="E284" s="140"/>
      <c r="F284" s="140"/>
      <c r="G284" s="141"/>
      <c r="H284" s="66" t="s">
        <v>141</v>
      </c>
      <c r="I284" s="66"/>
      <c r="J284" s="66"/>
      <c r="K284" s="66"/>
      <c r="L284" s="66"/>
      <c r="M284" s="66"/>
      <c r="N284" s="66"/>
      <c r="O284" s="66"/>
      <c r="P284" s="205">
        <v>15</v>
      </c>
      <c r="Q284" s="205" t="s">
        <v>209</v>
      </c>
      <c r="R284" s="69"/>
      <c r="S284" s="70">
        <v>0</v>
      </c>
      <c r="T284" s="71">
        <v>0</v>
      </c>
      <c r="U284" s="76">
        <f>3423/30</f>
        <v>114.1</v>
      </c>
      <c r="V284" s="77">
        <f>TRUNC(U284*P284,2)</f>
        <v>1711.5</v>
      </c>
      <c r="W284" s="78">
        <f>TRUNC(U284*P284*0.04,2)</f>
        <v>68.459999999999994</v>
      </c>
      <c r="X284" s="77">
        <f>TRUNC(U284*0.07*P284,2)</f>
        <v>119.8</v>
      </c>
      <c r="Y284" s="79">
        <f>S284</f>
        <v>0</v>
      </c>
      <c r="Z284" s="77">
        <f>TRUNC(X284+W284+(IF(Y284&gt;519,519,Y284))+IF(R284=0,0,R284*U284),2)</f>
        <v>188.26</v>
      </c>
      <c r="AA284" s="77">
        <f>TRUNC((IF(R284=0,P284*U284,(P284-R284)*U284))+(IF(Y284&lt;519,0,Y284-519)),2)+T284</f>
        <v>1711.5</v>
      </c>
      <c r="AB284" s="77">
        <f>Z284+AA284</f>
        <v>1899.76</v>
      </c>
      <c r="AC284" s="77"/>
      <c r="AD284" s="77">
        <v>0</v>
      </c>
      <c r="AE284" s="77">
        <v>0</v>
      </c>
      <c r="AF284" s="80">
        <f>IF(U284&gt;0.01,(AA284-VLOOKUP(AA284,quincenal,1))*VLOOKUP(AA284,quincenal,3)+VLOOKUP(AA284,quincenal,2)-VLOOKUP(AA284,subquincenal,2),0)</f>
        <v>-102.18183999999998</v>
      </c>
      <c r="AG284" s="77">
        <f>TRUNC(IF(AF284&gt;0.01,AF284,0),2)</f>
        <v>0</v>
      </c>
      <c r="AH284" s="81">
        <f>TRUNC(IF(AF284&lt;0.01,-AF284,0),2)</f>
        <v>102.18</v>
      </c>
      <c r="AI284" s="81">
        <f>AB284-AD284-AE284-AG284+AH284</f>
        <v>2001.94</v>
      </c>
      <c r="AJ284" s="157"/>
      <c r="AK284" s="40">
        <v>8</v>
      </c>
      <c r="AM284" s="87"/>
    </row>
    <row r="285" spans="1:39" s="40" customFormat="1" ht="38.1" customHeight="1">
      <c r="A285" s="100">
        <f t="shared" si="401"/>
        <v>145</v>
      </c>
      <c r="B285" s="68"/>
      <c r="C285" s="68"/>
      <c r="D285" s="65" t="s">
        <v>143</v>
      </c>
      <c r="E285" s="97" t="s">
        <v>331</v>
      </c>
      <c r="F285" s="97" t="s">
        <v>332</v>
      </c>
      <c r="G285" s="204"/>
      <c r="H285" s="66" t="s">
        <v>141</v>
      </c>
      <c r="I285" s="66"/>
      <c r="J285" s="66"/>
      <c r="K285" s="66"/>
      <c r="L285" s="66"/>
      <c r="M285" s="66"/>
      <c r="N285" s="66"/>
      <c r="O285" s="66"/>
      <c r="P285" s="205">
        <v>15</v>
      </c>
      <c r="Q285" s="205" t="s">
        <v>209</v>
      </c>
      <c r="R285" s="206"/>
      <c r="S285" s="207">
        <v>0</v>
      </c>
      <c r="T285" s="208">
        <v>0</v>
      </c>
      <c r="U285" s="103">
        <f>4305/30</f>
        <v>143.5</v>
      </c>
      <c r="V285" s="77">
        <f t="shared" si="413"/>
        <v>2152.5</v>
      </c>
      <c r="W285" s="78">
        <f t="shared" si="414"/>
        <v>86.1</v>
      </c>
      <c r="X285" s="77">
        <f t="shared" si="415"/>
        <v>150.66999999999999</v>
      </c>
      <c r="Y285" s="79">
        <f t="shared" si="416"/>
        <v>0</v>
      </c>
      <c r="Z285" s="77">
        <f t="shared" si="417"/>
        <v>236.77</v>
      </c>
      <c r="AA285" s="77">
        <f t="shared" si="418"/>
        <v>2152.5</v>
      </c>
      <c r="AB285" s="77">
        <f t="shared" si="419"/>
        <v>2389.27</v>
      </c>
      <c r="AC285" s="77"/>
      <c r="AD285" s="77">
        <v>1000</v>
      </c>
      <c r="AE285" s="77">
        <v>0</v>
      </c>
      <c r="AF285" s="80">
        <f t="shared" si="420"/>
        <v>-58.591088000000013</v>
      </c>
      <c r="AG285" s="77">
        <f t="shared" si="421"/>
        <v>0</v>
      </c>
      <c r="AH285" s="81">
        <f t="shared" si="422"/>
        <v>58.59</v>
      </c>
      <c r="AI285" s="81">
        <f t="shared" si="423"/>
        <v>1447.86</v>
      </c>
      <c r="AJ285" s="70"/>
      <c r="AK285" s="40">
        <v>9</v>
      </c>
      <c r="AM285" s="87"/>
    </row>
    <row r="286" spans="1:39" s="40" customFormat="1" ht="38.1" customHeight="1">
      <c r="A286" s="100">
        <f t="shared" si="401"/>
        <v>146</v>
      </c>
      <c r="B286" s="68"/>
      <c r="C286" s="68"/>
      <c r="D286" s="65" t="s">
        <v>144</v>
      </c>
      <c r="E286" s="97" t="s">
        <v>333</v>
      </c>
      <c r="F286" s="97" t="s">
        <v>334</v>
      </c>
      <c r="G286" s="204"/>
      <c r="H286" s="66" t="s">
        <v>141</v>
      </c>
      <c r="I286" s="66"/>
      <c r="J286" s="66"/>
      <c r="K286" s="66"/>
      <c r="L286" s="66"/>
      <c r="M286" s="66"/>
      <c r="N286" s="66"/>
      <c r="O286" s="66"/>
      <c r="P286" s="205">
        <v>15</v>
      </c>
      <c r="Q286" s="205" t="s">
        <v>209</v>
      </c>
      <c r="R286" s="206"/>
      <c r="S286" s="207">
        <v>0</v>
      </c>
      <c r="T286" s="208">
        <v>0</v>
      </c>
      <c r="U286" s="103">
        <f>2586/30</f>
        <v>86.2</v>
      </c>
      <c r="V286" s="77">
        <f t="shared" si="413"/>
        <v>1293</v>
      </c>
      <c r="W286" s="78">
        <f t="shared" si="414"/>
        <v>51.72</v>
      </c>
      <c r="X286" s="77">
        <f t="shared" si="415"/>
        <v>90.51</v>
      </c>
      <c r="Y286" s="79">
        <f t="shared" si="416"/>
        <v>0</v>
      </c>
      <c r="Z286" s="77">
        <f t="shared" si="417"/>
        <v>142.22999999999999</v>
      </c>
      <c r="AA286" s="77">
        <f t="shared" si="418"/>
        <v>1293</v>
      </c>
      <c r="AB286" s="77">
        <f t="shared" si="419"/>
        <v>1435.23</v>
      </c>
      <c r="AC286" s="77"/>
      <c r="AD286" s="77"/>
      <c r="AE286" s="77">
        <v>0</v>
      </c>
      <c r="AF286" s="80">
        <f t="shared" si="420"/>
        <v>-128.96583999999996</v>
      </c>
      <c r="AG286" s="77">
        <f t="shared" si="421"/>
        <v>0</v>
      </c>
      <c r="AH286" s="81">
        <f t="shared" si="422"/>
        <v>128.96</v>
      </c>
      <c r="AI286" s="81">
        <f t="shared" si="423"/>
        <v>1564.19</v>
      </c>
      <c r="AJ286" s="70"/>
      <c r="AK286" s="40">
        <v>10</v>
      </c>
      <c r="AM286" s="87"/>
    </row>
    <row r="287" spans="1:39" s="40" customFormat="1" ht="38.1" customHeight="1">
      <c r="A287" s="100">
        <f t="shared" si="401"/>
        <v>147</v>
      </c>
      <c r="B287" s="68"/>
      <c r="C287" s="68"/>
      <c r="D287" s="65" t="s">
        <v>142</v>
      </c>
      <c r="E287" s="97" t="s">
        <v>335</v>
      </c>
      <c r="F287" s="97" t="s">
        <v>336</v>
      </c>
      <c r="G287" s="204"/>
      <c r="H287" s="66" t="s">
        <v>141</v>
      </c>
      <c r="I287" s="66"/>
      <c r="J287" s="66"/>
      <c r="K287" s="66"/>
      <c r="L287" s="66"/>
      <c r="M287" s="66"/>
      <c r="N287" s="66"/>
      <c r="O287" s="66"/>
      <c r="P287" s="205">
        <v>15</v>
      </c>
      <c r="Q287" s="205" t="s">
        <v>209</v>
      </c>
      <c r="R287" s="206"/>
      <c r="S287" s="207">
        <v>0</v>
      </c>
      <c r="T287" s="208">
        <v>0</v>
      </c>
      <c r="U287" s="103">
        <f>6082/30</f>
        <v>202.73333333333332</v>
      </c>
      <c r="V287" s="77">
        <f t="shared" si="413"/>
        <v>3041</v>
      </c>
      <c r="W287" s="78">
        <f t="shared" si="414"/>
        <v>121.64</v>
      </c>
      <c r="X287" s="77">
        <f t="shared" si="415"/>
        <v>212.87</v>
      </c>
      <c r="Y287" s="79">
        <f t="shared" si="416"/>
        <v>0</v>
      </c>
      <c r="Z287" s="77">
        <f t="shared" si="417"/>
        <v>334.51</v>
      </c>
      <c r="AA287" s="77">
        <f t="shared" si="418"/>
        <v>3041</v>
      </c>
      <c r="AB287" s="77">
        <f t="shared" si="419"/>
        <v>3375.51</v>
      </c>
      <c r="AC287" s="77"/>
      <c r="AD287" s="77">
        <v>0</v>
      </c>
      <c r="AE287" s="77">
        <v>0</v>
      </c>
      <c r="AF287" s="80">
        <f t="shared" si="420"/>
        <v>81.427711999999985</v>
      </c>
      <c r="AG287" s="77">
        <f t="shared" si="421"/>
        <v>81.42</v>
      </c>
      <c r="AH287" s="81">
        <f t="shared" si="422"/>
        <v>0</v>
      </c>
      <c r="AI287" s="81">
        <f t="shared" si="423"/>
        <v>3294.09</v>
      </c>
      <c r="AJ287" s="70"/>
      <c r="AK287" s="40">
        <v>11</v>
      </c>
      <c r="AM287" s="87"/>
    </row>
    <row r="288" spans="1:39" s="40" customFormat="1" ht="37.5" customHeight="1">
      <c r="A288" s="100">
        <f t="shared" si="401"/>
        <v>148</v>
      </c>
      <c r="B288" s="68"/>
      <c r="C288" s="68"/>
      <c r="D288" s="65" t="s">
        <v>355</v>
      </c>
      <c r="E288" s="97" t="s">
        <v>337</v>
      </c>
      <c r="F288" s="97" t="s">
        <v>338</v>
      </c>
      <c r="G288" s="204"/>
      <c r="H288" s="66" t="s">
        <v>141</v>
      </c>
      <c r="I288" s="66"/>
      <c r="J288" s="66"/>
      <c r="K288" s="66"/>
      <c r="L288" s="66"/>
      <c r="M288" s="66"/>
      <c r="N288" s="66"/>
      <c r="O288" s="66"/>
      <c r="P288" s="205">
        <v>15</v>
      </c>
      <c r="Q288" s="205" t="s">
        <v>209</v>
      </c>
      <c r="R288" s="206"/>
      <c r="S288" s="207">
        <v>0</v>
      </c>
      <c r="T288" s="208">
        <v>0</v>
      </c>
      <c r="U288" s="103">
        <f>1630/30</f>
        <v>54.333333333333336</v>
      </c>
      <c r="V288" s="77">
        <f>TRUNC(U288*P288,2)</f>
        <v>815</v>
      </c>
      <c r="W288" s="78">
        <f>TRUNC(U288*P288*0.04,2)</f>
        <v>32.6</v>
      </c>
      <c r="X288" s="77">
        <f>TRUNC(U288*0.07*P288,2)</f>
        <v>57.05</v>
      </c>
      <c r="Y288" s="79">
        <f>S288</f>
        <v>0</v>
      </c>
      <c r="Z288" s="77">
        <f>TRUNC(X288+W288+(IF(Y288&gt;519,519,Y288))+IF(R288=0,0,R288*U288),2)</f>
        <v>89.65</v>
      </c>
      <c r="AA288" s="77">
        <f>TRUNC((IF(R288=0,P288*U288,(P288-R288)*U288))+(IF(Y288&lt;519,0,Y288-519)),2)+T288</f>
        <v>815</v>
      </c>
      <c r="AB288" s="77">
        <f>Z288+AA288</f>
        <v>904.65</v>
      </c>
      <c r="AC288" s="77"/>
      <c r="AD288" s="77"/>
      <c r="AE288" s="77">
        <v>0</v>
      </c>
      <c r="AF288" s="80">
        <f>IF(U288&gt;0.01,(AA288-VLOOKUP(AA288,quincenal,1))*VLOOKUP(AA288,quincenal,3)+VLOOKUP(AA288,quincenal,2)-VLOOKUP(AA288,subquincenal,2),0)</f>
        <v>-159.70783999999998</v>
      </c>
      <c r="AG288" s="77">
        <f>TRUNC(IF(AF288&gt;0.01,AF288,0),2)</f>
        <v>0</v>
      </c>
      <c r="AH288" s="81">
        <f>TRUNC(IF(AF288&lt;0.01,-AF288,0),2)</f>
        <v>159.69999999999999</v>
      </c>
      <c r="AI288" s="81">
        <f>AB288-AD288-AE288-AG288+AH288</f>
        <v>1064.3499999999999</v>
      </c>
      <c r="AJ288" s="70"/>
      <c r="AK288" s="40">
        <v>12</v>
      </c>
      <c r="AM288" s="87"/>
    </row>
    <row r="289" spans="1:39" s="40" customFormat="1" ht="38.1" customHeight="1">
      <c r="A289" s="100">
        <f t="shared" si="401"/>
        <v>149</v>
      </c>
      <c r="B289" s="68"/>
      <c r="C289" s="68"/>
      <c r="D289" s="126" t="s">
        <v>236</v>
      </c>
      <c r="E289" s="97" t="s">
        <v>339</v>
      </c>
      <c r="F289" s="97" t="s">
        <v>340</v>
      </c>
      <c r="G289" s="204"/>
      <c r="H289" s="67" t="s">
        <v>141</v>
      </c>
      <c r="I289" s="67"/>
      <c r="J289" s="67"/>
      <c r="K289" s="67"/>
      <c r="L289" s="67"/>
      <c r="M289" s="67"/>
      <c r="N289" s="67"/>
      <c r="O289" s="67"/>
      <c r="P289" s="205">
        <v>15</v>
      </c>
      <c r="Q289" s="205" t="s">
        <v>209</v>
      </c>
      <c r="R289" s="206"/>
      <c r="S289" s="207">
        <v>0</v>
      </c>
      <c r="T289" s="208">
        <v>0</v>
      </c>
      <c r="U289" s="103">
        <f>6070/30</f>
        <v>202.33333333333334</v>
      </c>
      <c r="V289" s="77">
        <f t="shared" si="413"/>
        <v>3035</v>
      </c>
      <c r="W289" s="78">
        <f t="shared" si="414"/>
        <v>121.4</v>
      </c>
      <c r="X289" s="77">
        <f t="shared" si="415"/>
        <v>212.45</v>
      </c>
      <c r="Y289" s="79">
        <f t="shared" si="416"/>
        <v>0</v>
      </c>
      <c r="Z289" s="77">
        <f t="shared" si="417"/>
        <v>333.85</v>
      </c>
      <c r="AA289" s="77">
        <f t="shared" si="418"/>
        <v>3035</v>
      </c>
      <c r="AB289" s="77">
        <f t="shared" si="419"/>
        <v>3368.85</v>
      </c>
      <c r="AC289" s="77"/>
      <c r="AD289" s="77"/>
      <c r="AE289" s="77">
        <v>0</v>
      </c>
      <c r="AF289" s="80">
        <f t="shared" si="420"/>
        <v>80.774911999999972</v>
      </c>
      <c r="AG289" s="77">
        <f t="shared" si="421"/>
        <v>80.77</v>
      </c>
      <c r="AH289" s="81">
        <f t="shared" si="422"/>
        <v>0</v>
      </c>
      <c r="AI289" s="81">
        <f t="shared" si="423"/>
        <v>3288.08</v>
      </c>
      <c r="AJ289" s="70"/>
      <c r="AK289" s="40">
        <v>14</v>
      </c>
      <c r="AM289" s="87"/>
    </row>
    <row r="290" spans="1:39" s="40" customFormat="1" ht="12.75">
      <c r="A290" s="100"/>
      <c r="D290" s="91" t="s">
        <v>140</v>
      </c>
      <c r="E290" s="43"/>
      <c r="F290" s="43"/>
      <c r="G290" s="44"/>
      <c r="H290" s="92"/>
      <c r="I290" s="92"/>
      <c r="J290" s="92"/>
      <c r="K290" s="92"/>
      <c r="L290" s="92"/>
      <c r="M290" s="92"/>
      <c r="N290" s="92"/>
      <c r="O290" s="92"/>
      <c r="P290" s="194"/>
      <c r="Q290" s="194"/>
      <c r="V290" s="94">
        <f t="shared" ref="V290:AI290" si="424">SUM(V277:V289)</f>
        <v>22395.5</v>
      </c>
      <c r="W290" s="94">
        <f t="shared" si="424"/>
        <v>895.81999999999994</v>
      </c>
      <c r="X290" s="94">
        <f t="shared" si="424"/>
        <v>1567.67</v>
      </c>
      <c r="Y290" s="94">
        <f t="shared" si="424"/>
        <v>0</v>
      </c>
      <c r="Z290" s="94">
        <f t="shared" si="424"/>
        <v>2463.4899999999998</v>
      </c>
      <c r="AA290" s="94">
        <f t="shared" si="424"/>
        <v>22395.5</v>
      </c>
      <c r="AB290" s="94">
        <f t="shared" si="424"/>
        <v>24858.990000000005</v>
      </c>
      <c r="AC290" s="94">
        <f t="shared" si="424"/>
        <v>0</v>
      </c>
      <c r="AD290" s="86">
        <f t="shared" si="424"/>
        <v>1000</v>
      </c>
      <c r="AE290" s="86">
        <f t="shared" si="424"/>
        <v>0</v>
      </c>
      <c r="AF290" s="94">
        <f t="shared" si="424"/>
        <v>-1083.178864</v>
      </c>
      <c r="AG290" s="94">
        <f t="shared" si="424"/>
        <v>162.19</v>
      </c>
      <c r="AH290" s="94">
        <f t="shared" si="424"/>
        <v>1245.3300000000002</v>
      </c>
      <c r="AI290" s="94">
        <f t="shared" si="424"/>
        <v>24942.129999999997</v>
      </c>
    </row>
    <row r="291" spans="1:39" s="40" customFormat="1">
      <c r="A291" s="100"/>
      <c r="D291" s="122"/>
      <c r="E291" s="43"/>
      <c r="F291" s="43"/>
      <c r="G291" s="193"/>
      <c r="H291" s="92"/>
      <c r="I291" s="92"/>
      <c r="J291" s="92"/>
      <c r="K291" s="92"/>
      <c r="L291" s="92"/>
      <c r="M291" s="92"/>
      <c r="N291" s="92"/>
      <c r="O291" s="92"/>
      <c r="P291" s="194"/>
      <c r="Q291" s="194"/>
      <c r="V291" s="87"/>
      <c r="AD291" s="52"/>
      <c r="AE291" s="52"/>
    </row>
    <row r="292" spans="1:39" s="40" customFormat="1">
      <c r="A292" s="100"/>
      <c r="D292" s="122"/>
      <c r="E292" s="43"/>
      <c r="F292" s="43"/>
      <c r="G292" s="193"/>
      <c r="H292" s="92"/>
      <c r="I292" s="92"/>
      <c r="J292" s="92"/>
      <c r="K292" s="92"/>
      <c r="L292" s="92"/>
      <c r="M292" s="92"/>
      <c r="N292" s="92"/>
      <c r="O292" s="92"/>
      <c r="P292" s="194"/>
      <c r="Q292" s="194"/>
      <c r="AD292" s="52"/>
      <c r="AE292" s="52"/>
    </row>
    <row r="293" spans="1:39" s="40" customFormat="1">
      <c r="A293" s="100"/>
      <c r="D293" s="122"/>
      <c r="E293" s="43"/>
      <c r="F293" s="43"/>
      <c r="G293" s="193"/>
      <c r="H293" s="92"/>
      <c r="I293" s="92"/>
      <c r="J293" s="92"/>
      <c r="K293" s="92"/>
      <c r="L293" s="92"/>
      <c r="M293" s="92"/>
      <c r="N293" s="92"/>
      <c r="O293" s="92"/>
      <c r="P293" s="194"/>
      <c r="Q293" s="194"/>
      <c r="AD293" s="52"/>
      <c r="AE293" s="52"/>
    </row>
    <row r="294" spans="1:39" s="40" customFormat="1" ht="12.75">
      <c r="A294" s="100"/>
      <c r="D294" s="224" t="s">
        <v>428</v>
      </c>
      <c r="E294" s="224"/>
      <c r="F294" s="43"/>
      <c r="G294" s="44"/>
      <c r="H294" s="92"/>
      <c r="I294" s="92"/>
      <c r="J294" s="92"/>
      <c r="K294" s="92"/>
      <c r="L294" s="92"/>
      <c r="M294" s="92"/>
      <c r="N294" s="92"/>
      <c r="O294" s="92"/>
      <c r="P294" s="225" t="s">
        <v>429</v>
      </c>
      <c r="Q294" s="225"/>
      <c r="R294" s="225"/>
      <c r="S294" s="225"/>
      <c r="T294" s="225"/>
      <c r="U294" s="225"/>
      <c r="V294" s="225"/>
      <c r="W294" s="225"/>
      <c r="X294" s="225"/>
      <c r="Y294" s="94"/>
      <c r="Z294" s="94"/>
      <c r="AA294" s="94"/>
      <c r="AB294" s="94"/>
      <c r="AC294" s="94"/>
      <c r="AD294" s="86"/>
      <c r="AE294" s="86"/>
      <c r="AF294" s="94"/>
      <c r="AG294" s="94"/>
      <c r="AH294" s="219" t="s">
        <v>430</v>
      </c>
      <c r="AI294" s="219"/>
      <c r="AJ294" s="219"/>
    </row>
    <row r="295" spans="1:39" s="40" customFormat="1" ht="12.75">
      <c r="A295" s="100"/>
      <c r="D295" s="222" t="s">
        <v>369</v>
      </c>
      <c r="E295" s="222"/>
      <c r="F295" s="43"/>
      <c r="G295" s="44"/>
      <c r="H295" s="92"/>
      <c r="I295" s="92"/>
      <c r="J295" s="92"/>
      <c r="K295" s="92"/>
      <c r="L295" s="92"/>
      <c r="M295" s="92"/>
      <c r="N295" s="92"/>
      <c r="O295" s="92"/>
      <c r="P295" s="223" t="s">
        <v>23</v>
      </c>
      <c r="Q295" s="223"/>
      <c r="R295" s="223"/>
      <c r="S295" s="223"/>
      <c r="T295" s="223"/>
      <c r="U295" s="223"/>
      <c r="V295" s="223"/>
      <c r="W295" s="223"/>
      <c r="X295" s="223"/>
      <c r="Y295" s="94"/>
      <c r="Z295" s="94"/>
      <c r="AA295" s="94"/>
      <c r="AB295" s="94"/>
      <c r="AC295" s="94"/>
      <c r="AD295" s="86"/>
      <c r="AE295" s="86"/>
      <c r="AF295" s="94"/>
      <c r="AG295" s="94"/>
      <c r="AH295" s="220" t="s">
        <v>129</v>
      </c>
      <c r="AI295" s="220"/>
      <c r="AJ295" s="220"/>
    </row>
    <row r="296" spans="1:39" s="40" customFormat="1">
      <c r="A296" s="100"/>
      <c r="D296" s="122"/>
      <c r="E296" s="43"/>
      <c r="F296" s="43"/>
      <c r="G296" s="193"/>
      <c r="H296" s="92"/>
      <c r="I296" s="92"/>
      <c r="J296" s="92"/>
      <c r="K296" s="92"/>
      <c r="L296" s="92"/>
      <c r="M296" s="92"/>
      <c r="N296" s="92"/>
      <c r="O296" s="92"/>
      <c r="P296" s="194"/>
      <c r="Q296" s="194"/>
      <c r="AD296" s="52"/>
      <c r="AE296" s="52"/>
    </row>
    <row r="297" spans="1:39" s="40" customFormat="1">
      <c r="A297" s="100"/>
      <c r="D297" s="122"/>
      <c r="E297" s="43"/>
      <c r="F297" s="43"/>
      <c r="G297" s="193"/>
      <c r="H297" s="92"/>
      <c r="I297" s="92"/>
      <c r="J297" s="92"/>
      <c r="K297" s="92"/>
      <c r="L297" s="92"/>
      <c r="M297" s="92"/>
      <c r="N297" s="92"/>
      <c r="O297" s="92"/>
      <c r="P297" s="194"/>
      <c r="Q297" s="194"/>
      <c r="AD297" s="52"/>
      <c r="AE297" s="52"/>
    </row>
    <row r="298" spans="1:39" s="40" customFormat="1">
      <c r="A298" s="100"/>
      <c r="D298" s="122"/>
      <c r="E298" s="43"/>
      <c r="F298" s="43"/>
      <c r="G298" s="193"/>
      <c r="H298" s="92"/>
      <c r="I298" s="92"/>
      <c r="J298" s="92"/>
      <c r="K298" s="92"/>
      <c r="L298" s="92"/>
      <c r="M298" s="92"/>
      <c r="N298" s="92"/>
      <c r="O298" s="92"/>
      <c r="P298" s="194"/>
      <c r="Q298" s="194"/>
      <c r="AD298" s="52"/>
      <c r="AE298" s="52"/>
      <c r="AG298" s="52"/>
      <c r="AH298" s="52"/>
      <c r="AI298" s="52"/>
    </row>
    <row r="299" spans="1:39" s="40" customFormat="1" ht="12.75">
      <c r="A299" s="100"/>
      <c r="D299" s="91" t="s">
        <v>246</v>
      </c>
      <c r="E299" s="43"/>
      <c r="F299" s="43"/>
      <c r="G299" s="193"/>
      <c r="H299" s="92"/>
      <c r="I299" s="92"/>
      <c r="J299" s="92"/>
      <c r="K299" s="92"/>
      <c r="L299" s="92"/>
      <c r="M299" s="92"/>
      <c r="N299" s="92"/>
      <c r="O299" s="92"/>
      <c r="P299" s="194"/>
      <c r="Q299" s="194"/>
      <c r="V299" s="139"/>
      <c r="W299" s="209"/>
      <c r="X299" s="139"/>
      <c r="Y299" s="139"/>
      <c r="Z299" s="139"/>
      <c r="AA299" s="139"/>
      <c r="AB299" s="139"/>
      <c r="AC299" s="139"/>
      <c r="AD299" s="139"/>
      <c r="AE299" s="139"/>
      <c r="AF299" s="87"/>
      <c r="AG299" s="139"/>
      <c r="AH299" s="210"/>
      <c r="AI299" s="210"/>
    </row>
    <row r="300" spans="1:39" s="40" customFormat="1" ht="36" customHeight="1">
      <c r="A300" s="100">
        <f>A289+1</f>
        <v>150</v>
      </c>
      <c r="B300" s="146"/>
      <c r="C300" s="146"/>
      <c r="D300" s="65" t="s">
        <v>251</v>
      </c>
      <c r="E300" s="144" t="s">
        <v>265</v>
      </c>
      <c r="F300" s="144" t="s">
        <v>266</v>
      </c>
      <c r="G300" s="204"/>
      <c r="H300" s="72" t="s">
        <v>252</v>
      </c>
      <c r="I300" s="72"/>
      <c r="J300" s="72"/>
      <c r="K300" s="72"/>
      <c r="L300" s="72"/>
      <c r="M300" s="72"/>
      <c r="N300" s="72"/>
      <c r="O300" s="72"/>
      <c r="P300" s="205">
        <v>15</v>
      </c>
      <c r="Q300" s="211" t="s">
        <v>209</v>
      </c>
      <c r="R300" s="206"/>
      <c r="S300" s="207">
        <v>0</v>
      </c>
      <c r="T300" s="208">
        <v>0</v>
      </c>
      <c r="U300" s="103">
        <f>5772/30</f>
        <v>192.4</v>
      </c>
      <c r="V300" s="79">
        <f t="shared" ref="V300:V305" si="425">TRUNC(U300*P300,2)</f>
        <v>2886</v>
      </c>
      <c r="W300" s="135">
        <f t="shared" ref="W300:W305" si="426">TRUNC(U300*P300*0.04,2)</f>
        <v>115.44</v>
      </c>
      <c r="X300" s="79">
        <f t="shared" ref="X300:X305" si="427">TRUNC(U300*0.07*P300,2)</f>
        <v>202.02</v>
      </c>
      <c r="Y300" s="79">
        <f t="shared" ref="Y300:Y302" si="428">S300</f>
        <v>0</v>
      </c>
      <c r="Z300" s="79">
        <f t="shared" ref="Z300:Z305" si="429">TRUNC(X300+W300+(IF(Y300&gt;519,519,Y300))+IF(R300=0,0,R300*U300),2)</f>
        <v>317.45999999999998</v>
      </c>
      <c r="AA300" s="79">
        <f t="shared" ref="AA300:AA305" si="430">TRUNC((IF(R300=0,P300*U300,(P300-R300)*U300))+(IF(Y300&lt;519,0,Y300-519)),2)+T300</f>
        <v>2886</v>
      </c>
      <c r="AB300" s="79">
        <f t="shared" ref="AB300:AB302" si="431">Z300+AA300</f>
        <v>3203.46</v>
      </c>
      <c r="AC300" s="79"/>
      <c r="AD300" s="79"/>
      <c r="AE300" s="79">
        <v>0</v>
      </c>
      <c r="AF300" s="80">
        <f t="shared" ref="AF300:AF302" si="432">IF(U300&gt;0.01,(AA300-VLOOKUP(AA300,quincenal,1))*VLOOKUP(AA300,quincenal,3)+VLOOKUP(AA300,quincenal,2)-VLOOKUP(AA300,subquincenal,2),0)</f>
        <v>64.563711999999981</v>
      </c>
      <c r="AG300" s="79">
        <f t="shared" ref="AG300:AG302" si="433">TRUNC(IF(AF300&gt;0.01,AF300,0),2)</f>
        <v>64.56</v>
      </c>
      <c r="AH300" s="136">
        <f t="shared" ref="AH300:AH302" si="434">TRUNC(IF(AF300&lt;0.01,-AF300,0),2)</f>
        <v>0</v>
      </c>
      <c r="AI300" s="136">
        <f t="shared" ref="AI300:AI302" si="435">AB300-AD300-AE300-AG300+AH300</f>
        <v>3138.9</v>
      </c>
      <c r="AJ300" s="132"/>
      <c r="AK300" s="40">
        <v>1</v>
      </c>
    </row>
    <row r="301" spans="1:39" s="40" customFormat="1" ht="36" customHeight="1">
      <c r="A301" s="100">
        <f>A300+1</f>
        <v>151</v>
      </c>
      <c r="B301" s="146"/>
      <c r="C301" s="146"/>
      <c r="D301" s="65" t="s">
        <v>247</v>
      </c>
      <c r="E301" s="99" t="s">
        <v>267</v>
      </c>
      <c r="F301" s="97" t="s">
        <v>268</v>
      </c>
      <c r="G301" s="204"/>
      <c r="H301" s="72" t="s">
        <v>248</v>
      </c>
      <c r="I301" s="72"/>
      <c r="J301" s="72"/>
      <c r="K301" s="72"/>
      <c r="L301" s="72"/>
      <c r="M301" s="72"/>
      <c r="N301" s="72"/>
      <c r="O301" s="72"/>
      <c r="P301" s="205">
        <v>15</v>
      </c>
      <c r="Q301" s="211" t="s">
        <v>209</v>
      </c>
      <c r="R301" s="206"/>
      <c r="S301" s="207">
        <v>0</v>
      </c>
      <c r="T301" s="208">
        <v>0</v>
      </c>
      <c r="U301" s="103">
        <f>6207/30</f>
        <v>206.9</v>
      </c>
      <c r="V301" s="79">
        <f t="shared" si="425"/>
        <v>3103.5</v>
      </c>
      <c r="W301" s="135">
        <f t="shared" si="426"/>
        <v>124.14</v>
      </c>
      <c r="X301" s="79">
        <f t="shared" si="427"/>
        <v>217.24</v>
      </c>
      <c r="Y301" s="79">
        <f t="shared" si="428"/>
        <v>0</v>
      </c>
      <c r="Z301" s="79">
        <f t="shared" si="429"/>
        <v>341.38</v>
      </c>
      <c r="AA301" s="79">
        <f t="shared" si="430"/>
        <v>3103.5</v>
      </c>
      <c r="AB301" s="79">
        <f t="shared" si="431"/>
        <v>3444.88</v>
      </c>
      <c r="AC301" s="79"/>
      <c r="AD301" s="79"/>
      <c r="AE301" s="79">
        <v>0</v>
      </c>
      <c r="AF301" s="80">
        <f t="shared" si="432"/>
        <v>108.47771199999997</v>
      </c>
      <c r="AG301" s="79">
        <f t="shared" si="433"/>
        <v>108.47</v>
      </c>
      <c r="AH301" s="136">
        <f t="shared" si="434"/>
        <v>0</v>
      </c>
      <c r="AI301" s="136">
        <f t="shared" si="435"/>
        <v>3336.4100000000003</v>
      </c>
      <c r="AJ301" s="132"/>
      <c r="AK301" s="40">
        <v>9</v>
      </c>
    </row>
    <row r="302" spans="1:39" s="40" customFormat="1" ht="36" customHeight="1">
      <c r="A302" s="100" t="e">
        <f>#REF!+1</f>
        <v>#REF!</v>
      </c>
      <c r="B302" s="146" t="s">
        <v>21</v>
      </c>
      <c r="C302" s="146" t="s">
        <v>21</v>
      </c>
      <c r="D302" s="61" t="s">
        <v>501</v>
      </c>
      <c r="E302" s="144" t="s">
        <v>157</v>
      </c>
      <c r="F302" s="144" t="s">
        <v>181</v>
      </c>
      <c r="G302" s="63"/>
      <c r="H302" s="72" t="s">
        <v>250</v>
      </c>
      <c r="I302" s="72"/>
      <c r="J302" s="72"/>
      <c r="K302" s="72"/>
      <c r="L302" s="72"/>
      <c r="M302" s="72"/>
      <c r="N302" s="72"/>
      <c r="O302" s="72"/>
      <c r="P302" s="205">
        <v>15</v>
      </c>
      <c r="Q302" s="211" t="s">
        <v>209</v>
      </c>
      <c r="R302" s="206"/>
      <c r="S302" s="207">
        <v>0</v>
      </c>
      <c r="T302" s="208">
        <v>0</v>
      </c>
      <c r="U302" s="103">
        <v>82.109899999999996</v>
      </c>
      <c r="V302" s="79">
        <f t="shared" si="425"/>
        <v>1231.6400000000001</v>
      </c>
      <c r="W302" s="135">
        <f t="shared" si="426"/>
        <v>49.26</v>
      </c>
      <c r="X302" s="79">
        <f t="shared" si="427"/>
        <v>86.21</v>
      </c>
      <c r="Y302" s="79">
        <f t="shared" si="428"/>
        <v>0</v>
      </c>
      <c r="Z302" s="79">
        <f t="shared" si="429"/>
        <v>135.47</v>
      </c>
      <c r="AA302" s="79">
        <f t="shared" si="430"/>
        <v>1231.6400000000001</v>
      </c>
      <c r="AB302" s="79">
        <f t="shared" si="431"/>
        <v>1367.1100000000001</v>
      </c>
      <c r="AC302" s="79"/>
      <c r="AD302" s="79"/>
      <c r="AE302" s="79">
        <v>0</v>
      </c>
      <c r="AF302" s="80">
        <f t="shared" si="432"/>
        <v>-132.89287999999999</v>
      </c>
      <c r="AG302" s="79">
        <f t="shared" si="433"/>
        <v>0</v>
      </c>
      <c r="AH302" s="136">
        <f t="shared" si="434"/>
        <v>132.88999999999999</v>
      </c>
      <c r="AI302" s="136">
        <f t="shared" si="435"/>
        <v>1500</v>
      </c>
      <c r="AJ302" s="132"/>
      <c r="AK302" s="40">
        <v>13</v>
      </c>
    </row>
    <row r="303" spans="1:39" s="40" customFormat="1" ht="36" customHeight="1">
      <c r="A303" s="100" t="e">
        <f t="shared" ref="A303:A304" si="436">A302+1</f>
        <v>#REF!</v>
      </c>
      <c r="B303" s="146"/>
      <c r="C303" s="146"/>
      <c r="D303" s="65" t="s">
        <v>398</v>
      </c>
      <c r="E303" s="144"/>
      <c r="F303" s="144"/>
      <c r="G303" s="204"/>
      <c r="H303" s="72" t="s">
        <v>448</v>
      </c>
      <c r="I303" s="72"/>
      <c r="J303" s="72"/>
      <c r="K303" s="72"/>
      <c r="L303" s="72"/>
      <c r="M303" s="72"/>
      <c r="N303" s="72"/>
      <c r="O303" s="72"/>
      <c r="P303" s="69">
        <v>15</v>
      </c>
      <c r="Q303" s="69" t="s">
        <v>209</v>
      </c>
      <c r="R303" s="69"/>
      <c r="S303" s="70">
        <v>0</v>
      </c>
      <c r="T303" s="71">
        <v>0</v>
      </c>
      <c r="U303" s="76">
        <f>5714/30</f>
        <v>190.46666666666667</v>
      </c>
      <c r="V303" s="77">
        <f>TRUNC(U303*P303,2)</f>
        <v>2857</v>
      </c>
      <c r="W303" s="78">
        <f>TRUNC(U303*P303*0.04,2)</f>
        <v>114.28</v>
      </c>
      <c r="X303" s="77">
        <f>TRUNC(U303*0.07*P303,2)</f>
        <v>199.99</v>
      </c>
      <c r="Y303" s="79">
        <f>S303</f>
        <v>0</v>
      </c>
      <c r="Z303" s="77">
        <f>TRUNC(X303+W303+(IF(Y303&gt;519,519,Y303))+IF(R303=0,0,R303*U303),2)</f>
        <v>314.27</v>
      </c>
      <c r="AA303" s="77">
        <f>TRUNC((IF(R303=0,P303*U303,(P303-R303)*U303))+(IF(Y303&lt;519,0,Y303-519)),2)+T303</f>
        <v>2857</v>
      </c>
      <c r="AB303" s="77">
        <f>Z303+AA303</f>
        <v>3171.27</v>
      </c>
      <c r="AC303" s="77"/>
      <c r="AD303" s="77">
        <v>0</v>
      </c>
      <c r="AE303" s="77">
        <v>0</v>
      </c>
      <c r="AF303" s="80">
        <f>IF(U303&gt;0.01,(AA303-VLOOKUP(AA303,quincenal,1))*VLOOKUP(AA303,quincenal,3)+VLOOKUP(AA303,quincenal,2)-VLOOKUP(AA303,subquincenal,2),0)</f>
        <v>61.408511999999973</v>
      </c>
      <c r="AG303" s="77">
        <f>TRUNC(IF(AF303&gt;0.01,AF303,0),2)</f>
        <v>61.4</v>
      </c>
      <c r="AH303" s="81">
        <f>TRUNC(IF(AF303&lt;0.01,-AF303,0),2)</f>
        <v>0</v>
      </c>
      <c r="AI303" s="81">
        <f>AB303-AD303-AE303-AG303+AH303</f>
        <v>3109.87</v>
      </c>
      <c r="AJ303" s="132"/>
      <c r="AK303" s="40">
        <v>21</v>
      </c>
    </row>
    <row r="304" spans="1:39" s="40" customFormat="1" ht="36" customHeight="1">
      <c r="A304" s="100" t="e">
        <f t="shared" si="436"/>
        <v>#REF!</v>
      </c>
      <c r="B304" s="146"/>
      <c r="C304" s="146"/>
      <c r="D304" s="65" t="s">
        <v>445</v>
      </c>
      <c r="E304" s="144"/>
      <c r="F304" s="144"/>
      <c r="G304" s="204"/>
      <c r="H304" s="72" t="s">
        <v>249</v>
      </c>
      <c r="I304" s="72"/>
      <c r="J304" s="72"/>
      <c r="K304" s="72"/>
      <c r="L304" s="72"/>
      <c r="M304" s="72"/>
      <c r="N304" s="72"/>
      <c r="O304" s="72"/>
      <c r="P304" s="69">
        <v>15</v>
      </c>
      <c r="Q304" s="69" t="s">
        <v>209</v>
      </c>
      <c r="R304" s="69"/>
      <c r="S304" s="70">
        <v>0</v>
      </c>
      <c r="T304" s="71">
        <v>0</v>
      </c>
      <c r="U304" s="76">
        <f>5714/30</f>
        <v>190.46666666666667</v>
      </c>
      <c r="V304" s="77">
        <f>TRUNC(U304*P304,2)</f>
        <v>2857</v>
      </c>
      <c r="W304" s="78">
        <f>TRUNC(U304*P304*0.04,2)</f>
        <v>114.28</v>
      </c>
      <c r="X304" s="77">
        <f>TRUNC(U304*0.07*P304,2)</f>
        <v>199.99</v>
      </c>
      <c r="Y304" s="79">
        <f>S304</f>
        <v>0</v>
      </c>
      <c r="Z304" s="77">
        <f>TRUNC(X304+W304+(IF(Y304&gt;519,519,Y304))+IF(R304=0,0,R304*U304),2)</f>
        <v>314.27</v>
      </c>
      <c r="AA304" s="77">
        <f>TRUNC((IF(R304=0,P304*U304,(P304-R304)*U304))+(IF(Y304&lt;519,0,Y304-519)),2)+T304</f>
        <v>2857</v>
      </c>
      <c r="AB304" s="77">
        <f>Z304+AA304</f>
        <v>3171.27</v>
      </c>
      <c r="AC304" s="77"/>
      <c r="AD304" s="77"/>
      <c r="AE304" s="77">
        <v>0</v>
      </c>
      <c r="AF304" s="80">
        <f>IF(U304&gt;0.01,(AA304-VLOOKUP(AA304,quincenal,1))*VLOOKUP(AA304,quincenal,3)+VLOOKUP(AA304,quincenal,2)-VLOOKUP(AA304,subquincenal,2),0)</f>
        <v>61.408511999999973</v>
      </c>
      <c r="AG304" s="77">
        <f>TRUNC(IF(AF304&gt;0.01,AF304,0),2)</f>
        <v>61.4</v>
      </c>
      <c r="AH304" s="81">
        <f>TRUNC(IF(AF304&lt;0.01,-AF304,0),2)</f>
        <v>0</v>
      </c>
      <c r="AI304" s="81">
        <f>AB304-AD304-AE304-AG304+AH304</f>
        <v>3109.87</v>
      </c>
      <c r="AJ304" s="132"/>
      <c r="AK304" s="40">
        <v>22</v>
      </c>
    </row>
    <row r="305" spans="1:37" s="40" customFormat="1" ht="36" customHeight="1">
      <c r="A305" s="100" t="e">
        <f>A304+1</f>
        <v>#REF!</v>
      </c>
      <c r="B305" s="146"/>
      <c r="C305" s="146"/>
      <c r="D305" s="73" t="s">
        <v>356</v>
      </c>
      <c r="E305" s="73"/>
      <c r="F305" s="212"/>
      <c r="G305" s="204"/>
      <c r="H305" s="74" t="s">
        <v>48</v>
      </c>
      <c r="I305" s="74"/>
      <c r="J305" s="74"/>
      <c r="K305" s="74"/>
      <c r="L305" s="74"/>
      <c r="M305" s="74"/>
      <c r="N305" s="74"/>
      <c r="O305" s="74"/>
      <c r="P305" s="205">
        <v>15</v>
      </c>
      <c r="Q305" s="211" t="s">
        <v>209</v>
      </c>
      <c r="R305" s="206"/>
      <c r="S305" s="207">
        <v>0</v>
      </c>
      <c r="T305" s="208">
        <v>0</v>
      </c>
      <c r="U305" s="103">
        <f>4799/30</f>
        <v>159.96666666666667</v>
      </c>
      <c r="V305" s="79">
        <f t="shared" si="425"/>
        <v>2399.5</v>
      </c>
      <c r="W305" s="135">
        <f t="shared" si="426"/>
        <v>95.98</v>
      </c>
      <c r="X305" s="79">
        <f t="shared" si="427"/>
        <v>167.96</v>
      </c>
      <c r="Y305" s="79">
        <f>S305</f>
        <v>0</v>
      </c>
      <c r="Z305" s="79">
        <f t="shared" si="429"/>
        <v>263.94</v>
      </c>
      <c r="AA305" s="79">
        <f t="shared" si="430"/>
        <v>2399.5</v>
      </c>
      <c r="AB305" s="79">
        <f>Z305+AA305</f>
        <v>2663.44</v>
      </c>
      <c r="AC305" s="79"/>
      <c r="AD305" s="79"/>
      <c r="AE305" s="79">
        <v>0</v>
      </c>
      <c r="AF305" s="80">
        <f>IF(U305&gt;0.01,(AA305-VLOOKUP(AA305,quincenal,1))*VLOOKUP(AA305,quincenal,3)+VLOOKUP(AA305,quincenal,2)-VLOOKUP(AA305,subquincenal,2),0)</f>
        <v>-3.3674880000000087</v>
      </c>
      <c r="AG305" s="79">
        <f>TRUNC(IF(AF305&gt;0.01,AF305,0),2)</f>
        <v>0</v>
      </c>
      <c r="AH305" s="136">
        <f>TRUNC(IF(AF305&lt;0.01,-AF305,0),2)</f>
        <v>3.36</v>
      </c>
      <c r="AI305" s="136">
        <f>AB305-AD305-AE305-AG305+AH305</f>
        <v>2666.8</v>
      </c>
      <c r="AJ305" s="132"/>
      <c r="AK305" s="40">
        <v>24</v>
      </c>
    </row>
    <row r="306" spans="1:37" s="40" customFormat="1" ht="12.75">
      <c r="A306" s="100"/>
      <c r="D306" s="91" t="s">
        <v>246</v>
      </c>
      <c r="E306" s="43"/>
      <c r="F306" s="43"/>
      <c r="G306" s="44"/>
      <c r="H306" s="92"/>
      <c r="I306" s="92"/>
      <c r="J306" s="92"/>
      <c r="K306" s="92"/>
      <c r="L306" s="92"/>
      <c r="M306" s="92"/>
      <c r="N306" s="92"/>
      <c r="O306" s="92"/>
      <c r="P306" s="194"/>
      <c r="Q306" s="194"/>
      <c r="V306" s="94">
        <f t="shared" ref="V306:AI306" si="437">SUM(V300:V305)</f>
        <v>15334.64</v>
      </c>
      <c r="W306" s="94">
        <f t="shared" si="437"/>
        <v>613.38</v>
      </c>
      <c r="X306" s="94">
        <f t="shared" si="437"/>
        <v>1073.4100000000001</v>
      </c>
      <c r="Y306" s="94">
        <f t="shared" si="437"/>
        <v>0</v>
      </c>
      <c r="Z306" s="94">
        <f t="shared" si="437"/>
        <v>1686.79</v>
      </c>
      <c r="AA306" s="94">
        <f t="shared" si="437"/>
        <v>15334.64</v>
      </c>
      <c r="AB306" s="94">
        <f t="shared" si="437"/>
        <v>17021.43</v>
      </c>
      <c r="AC306" s="94">
        <f t="shared" si="437"/>
        <v>0</v>
      </c>
      <c r="AD306" s="86">
        <f t="shared" si="437"/>
        <v>0</v>
      </c>
      <c r="AE306" s="86">
        <f t="shared" si="437"/>
        <v>0</v>
      </c>
      <c r="AF306" s="94">
        <f t="shared" si="437"/>
        <v>159.5980799999999</v>
      </c>
      <c r="AG306" s="94">
        <f t="shared" si="437"/>
        <v>295.83</v>
      </c>
      <c r="AH306" s="94">
        <f t="shared" si="437"/>
        <v>136.25</v>
      </c>
      <c r="AI306" s="94">
        <f t="shared" si="437"/>
        <v>16861.849999999999</v>
      </c>
    </row>
    <row r="307" spans="1:37" s="40" customFormat="1" ht="12.75">
      <c r="A307" s="100"/>
      <c r="D307" s="91"/>
      <c r="E307" s="43"/>
      <c r="F307" s="43"/>
      <c r="G307" s="44"/>
      <c r="H307" s="92"/>
      <c r="I307" s="92"/>
      <c r="J307" s="92"/>
      <c r="K307" s="92"/>
      <c r="L307" s="92"/>
      <c r="M307" s="92"/>
      <c r="N307" s="92"/>
      <c r="O307" s="92"/>
      <c r="P307" s="194"/>
      <c r="Q307" s="194"/>
      <c r="V307" s="94"/>
      <c r="W307" s="94"/>
      <c r="X307" s="94"/>
      <c r="Y307" s="94"/>
      <c r="Z307" s="94"/>
      <c r="AA307" s="94"/>
      <c r="AB307" s="94"/>
      <c r="AC307" s="94"/>
      <c r="AD307" s="86"/>
      <c r="AE307" s="86"/>
      <c r="AF307" s="94"/>
      <c r="AG307" s="94"/>
      <c r="AH307" s="94"/>
      <c r="AI307" s="94"/>
    </row>
    <row r="308" spans="1:37" s="40" customFormat="1" ht="12.75">
      <c r="A308" s="100"/>
      <c r="D308" s="224" t="s">
        <v>428</v>
      </c>
      <c r="E308" s="224"/>
      <c r="F308" s="43"/>
      <c r="G308" s="44"/>
      <c r="H308" s="92"/>
      <c r="I308" s="92"/>
      <c r="J308" s="92"/>
      <c r="K308" s="92"/>
      <c r="L308" s="92"/>
      <c r="M308" s="92"/>
      <c r="N308" s="92"/>
      <c r="O308" s="92"/>
      <c r="P308" s="225" t="s">
        <v>429</v>
      </c>
      <c r="Q308" s="225"/>
      <c r="R308" s="225"/>
      <c r="S308" s="225"/>
      <c r="T308" s="225"/>
      <c r="U308" s="225"/>
      <c r="V308" s="225"/>
      <c r="W308" s="225"/>
      <c r="X308" s="225"/>
      <c r="Y308" s="94"/>
      <c r="Z308" s="94"/>
      <c r="AA308" s="94"/>
      <c r="AB308" s="94"/>
      <c r="AC308" s="94"/>
      <c r="AD308" s="86"/>
      <c r="AE308" s="86"/>
      <c r="AF308" s="94"/>
      <c r="AG308" s="94"/>
      <c r="AH308" s="219" t="s">
        <v>430</v>
      </c>
      <c r="AI308" s="219"/>
      <c r="AJ308" s="219"/>
    </row>
    <row r="309" spans="1:37" s="40" customFormat="1" ht="12.75">
      <c r="A309" s="100"/>
      <c r="D309" s="226" t="s">
        <v>369</v>
      </c>
      <c r="E309" s="226"/>
      <c r="F309" s="43"/>
      <c r="G309" s="44"/>
      <c r="H309" s="92"/>
      <c r="I309" s="92"/>
      <c r="J309" s="92"/>
      <c r="K309" s="92"/>
      <c r="L309" s="92"/>
      <c r="M309" s="92"/>
      <c r="N309" s="92"/>
      <c r="O309" s="92"/>
      <c r="P309" s="223" t="s">
        <v>23</v>
      </c>
      <c r="Q309" s="223"/>
      <c r="R309" s="223"/>
      <c r="S309" s="223"/>
      <c r="T309" s="223"/>
      <c r="U309" s="223"/>
      <c r="V309" s="223"/>
      <c r="W309" s="223"/>
      <c r="X309" s="223"/>
      <c r="Y309" s="94"/>
      <c r="Z309" s="94"/>
      <c r="AA309" s="94"/>
      <c r="AB309" s="94"/>
      <c r="AC309" s="94"/>
      <c r="AD309" s="86"/>
      <c r="AE309" s="86"/>
      <c r="AF309" s="94"/>
      <c r="AG309" s="94"/>
      <c r="AH309" s="220" t="s">
        <v>129</v>
      </c>
      <c r="AI309" s="220"/>
      <c r="AJ309" s="220"/>
    </row>
  </sheetData>
  <sheetProtection sort="0" autoFilter="0"/>
  <autoFilter ref="A7:AJ18"/>
  <sortState ref="D223:AI252">
    <sortCondition ref="D223:D252"/>
  </sortState>
  <mergeCells count="27">
    <mergeCell ref="D308:E308"/>
    <mergeCell ref="P308:X308"/>
    <mergeCell ref="AH308:AJ308"/>
    <mergeCell ref="D309:E309"/>
    <mergeCell ref="P309:X309"/>
    <mergeCell ref="AH309:AJ309"/>
    <mergeCell ref="D294:E294"/>
    <mergeCell ref="P294:X294"/>
    <mergeCell ref="AH294:AJ294"/>
    <mergeCell ref="D295:E295"/>
    <mergeCell ref="P295:X295"/>
    <mergeCell ref="AH295:AJ295"/>
    <mergeCell ref="D270:E270"/>
    <mergeCell ref="P270:X270"/>
    <mergeCell ref="AH270:AJ270"/>
    <mergeCell ref="D212:E212"/>
    <mergeCell ref="D213:E213"/>
    <mergeCell ref="P213:X213"/>
    <mergeCell ref="P212:X212"/>
    <mergeCell ref="D269:E269"/>
    <mergeCell ref="P269:X269"/>
    <mergeCell ref="AH269:AJ269"/>
    <mergeCell ref="B4:AJ4"/>
    <mergeCell ref="B5:AJ5"/>
    <mergeCell ref="AH212:AJ212"/>
    <mergeCell ref="AH213:AJ213"/>
    <mergeCell ref="A3:AJ3"/>
  </mergeCells>
  <phoneticPr fontId="3" type="noConversion"/>
  <printOptions horizontalCentered="1" verticalCentered="1"/>
  <pageMargins left="0.78740157480314965" right="0.39370078740157483" top="0.39370078740157483" bottom="0.59055118110236227" header="0" footer="0"/>
  <pageSetup paperSize="5" scale="75" orientation="landscape" r:id="rId1"/>
  <headerFooter alignWithMargins="0"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93"/>
  <sheetViews>
    <sheetView topLeftCell="A11" workbookViewId="0">
      <selection activeCell="A8" sqref="A8:C14"/>
    </sheetView>
  </sheetViews>
  <sheetFormatPr baseColWidth="10" defaultRowHeight="12.75"/>
  <cols>
    <col min="1" max="1" width="12.5703125" customWidth="1"/>
    <col min="2" max="2" width="15.28515625" customWidth="1"/>
    <col min="4" max="4" width="4.42578125" customWidth="1"/>
    <col min="5" max="5" width="16.28515625" customWidth="1"/>
    <col min="6" max="6" width="13.7109375" customWidth="1"/>
    <col min="8" max="8" width="4.42578125" customWidth="1"/>
    <col min="9" max="9" width="13.42578125" customWidth="1"/>
    <col min="10" max="10" width="14.42578125" customWidth="1"/>
  </cols>
  <sheetData>
    <row r="1" spans="1:16">
      <c r="A1" s="231" t="s">
        <v>112</v>
      </c>
      <c r="B1" s="232"/>
      <c r="C1" s="233"/>
      <c r="D1" s="3"/>
      <c r="E1" s="231" t="s">
        <v>113</v>
      </c>
      <c r="F1" s="232"/>
      <c r="G1" s="233"/>
      <c r="I1" s="231" t="s">
        <v>114</v>
      </c>
      <c r="J1" s="232"/>
      <c r="K1" s="233"/>
      <c r="M1" s="105">
        <v>0.01</v>
      </c>
      <c r="N1" s="105">
        <v>496.07</v>
      </c>
      <c r="O1" s="105">
        <v>0</v>
      </c>
      <c r="P1" s="105">
        <v>1.92</v>
      </c>
    </row>
    <row r="2" spans="1:16">
      <c r="A2" s="234">
        <v>2015</v>
      </c>
      <c r="B2" s="235"/>
      <c r="C2" s="236"/>
      <c r="D2" s="3"/>
      <c r="E2" s="234">
        <v>2015</v>
      </c>
      <c r="F2" s="235"/>
      <c r="G2" s="236"/>
      <c r="I2" s="234">
        <v>2015</v>
      </c>
      <c r="J2" s="235"/>
      <c r="K2" s="236"/>
      <c r="M2" s="105">
        <v>496.08</v>
      </c>
      <c r="N2" s="106">
        <v>4210.41</v>
      </c>
      <c r="O2" s="105">
        <v>9.52</v>
      </c>
      <c r="P2" s="105">
        <v>6.4</v>
      </c>
    </row>
    <row r="3" spans="1:16">
      <c r="A3" s="4" t="s">
        <v>115</v>
      </c>
      <c r="B3" s="5" t="s">
        <v>116</v>
      </c>
      <c r="C3" s="6" t="s">
        <v>117</v>
      </c>
      <c r="D3" s="3"/>
      <c r="E3" s="4" t="s">
        <v>115</v>
      </c>
      <c r="F3" s="5" t="s">
        <v>116</v>
      </c>
      <c r="G3" s="6" t="s">
        <v>117</v>
      </c>
      <c r="I3" s="4" t="s">
        <v>115</v>
      </c>
      <c r="J3" s="5" t="s">
        <v>116</v>
      </c>
      <c r="K3" s="6" t="s">
        <v>117</v>
      </c>
      <c r="M3" s="106">
        <v>4210.42</v>
      </c>
      <c r="N3" s="106">
        <v>7399.42</v>
      </c>
      <c r="O3" s="105">
        <v>247.24</v>
      </c>
      <c r="P3" s="105">
        <v>10.88</v>
      </c>
    </row>
    <row r="4" spans="1:16">
      <c r="A4" s="7">
        <v>0.01</v>
      </c>
      <c r="B4" s="8">
        <v>0</v>
      </c>
      <c r="C4" s="9">
        <v>1.9199999999999998E-2</v>
      </c>
      <c r="D4" s="35"/>
      <c r="E4" s="111">
        <v>0.01</v>
      </c>
      <c r="F4" s="8">
        <v>0</v>
      </c>
      <c r="G4" s="9">
        <v>1.9199999999999998E-2</v>
      </c>
      <c r="I4" s="111">
        <v>0.01</v>
      </c>
      <c r="J4" s="114">
        <v>0</v>
      </c>
      <c r="K4" s="115">
        <v>1.9199999999999998E-2</v>
      </c>
      <c r="M4" s="106">
        <v>7399.43</v>
      </c>
      <c r="N4" s="106">
        <v>8601.5</v>
      </c>
      <c r="O4" s="105">
        <v>594.21</v>
      </c>
      <c r="P4" s="105">
        <v>16</v>
      </c>
    </row>
    <row r="5" spans="1:16">
      <c r="A5" s="7">
        <v>496.08</v>
      </c>
      <c r="B5" s="8">
        <v>9.52</v>
      </c>
      <c r="C5" s="9">
        <v>6.4000000000000001E-2</v>
      </c>
      <c r="D5" s="35"/>
      <c r="E5" s="111">
        <v>244.81</v>
      </c>
      <c r="F5" s="8">
        <v>4.6500000000000004</v>
      </c>
      <c r="G5" s="9">
        <v>6.4000000000000001E-2</v>
      </c>
      <c r="I5" s="111">
        <v>114.25</v>
      </c>
      <c r="J5" s="114">
        <v>2.17</v>
      </c>
      <c r="K5" s="115">
        <v>6.4000000000000001E-2</v>
      </c>
      <c r="M5" s="106">
        <v>8601.51</v>
      </c>
      <c r="N5" s="106">
        <v>10298.35</v>
      </c>
      <c r="O5" s="105">
        <v>786.54</v>
      </c>
      <c r="P5" s="105">
        <v>17.920000000000002</v>
      </c>
    </row>
    <row r="6" spans="1:16">
      <c r="A6" s="7">
        <v>4210.42</v>
      </c>
      <c r="B6" s="8">
        <v>247.24</v>
      </c>
      <c r="C6" s="9">
        <v>0.10879999999999999</v>
      </c>
      <c r="D6" s="35"/>
      <c r="E6" s="112">
        <v>2077.5100000000002</v>
      </c>
      <c r="F6" s="8">
        <v>121.95</v>
      </c>
      <c r="G6" s="9">
        <v>0.10879999999999999</v>
      </c>
      <c r="I6" s="111">
        <v>969.51</v>
      </c>
      <c r="J6" s="114">
        <v>56.91</v>
      </c>
      <c r="K6" s="115">
        <v>0.10879999999999999</v>
      </c>
      <c r="M6" s="106">
        <v>10298.36</v>
      </c>
      <c r="N6" s="106">
        <v>20770.29</v>
      </c>
      <c r="O6" s="106">
        <v>1090.6099999999999</v>
      </c>
      <c r="P6" s="105">
        <v>21.36</v>
      </c>
    </row>
    <row r="7" spans="1:16">
      <c r="A7" s="7">
        <v>7399.43</v>
      </c>
      <c r="B7" s="8">
        <v>594.21</v>
      </c>
      <c r="C7" s="9">
        <v>0.16</v>
      </c>
      <c r="D7" s="35"/>
      <c r="E7" s="112">
        <v>3651.01</v>
      </c>
      <c r="F7" s="8">
        <v>293.25</v>
      </c>
      <c r="G7" s="9">
        <v>0.16</v>
      </c>
      <c r="I7" s="112">
        <v>1703.81</v>
      </c>
      <c r="J7" s="114">
        <v>136.85</v>
      </c>
      <c r="K7" s="116">
        <v>0.16</v>
      </c>
      <c r="M7" s="106">
        <v>20770.3</v>
      </c>
      <c r="N7" s="106">
        <v>32736.83</v>
      </c>
      <c r="O7" s="106">
        <v>3327.42</v>
      </c>
      <c r="P7" s="105">
        <v>23.52</v>
      </c>
    </row>
    <row r="8" spans="1:16">
      <c r="A8" s="7">
        <v>8601.51</v>
      </c>
      <c r="B8" s="8">
        <v>786.54</v>
      </c>
      <c r="C8" s="9">
        <v>0.1792</v>
      </c>
      <c r="D8" s="35"/>
      <c r="E8" s="112">
        <v>4244.1099999999997</v>
      </c>
      <c r="F8" s="8">
        <v>388.05</v>
      </c>
      <c r="G8" s="9">
        <v>0.1792</v>
      </c>
      <c r="I8" s="112">
        <v>1980.59</v>
      </c>
      <c r="J8" s="114">
        <v>181.09</v>
      </c>
      <c r="K8" s="115">
        <v>0.1792</v>
      </c>
      <c r="M8" s="106">
        <v>32736.84</v>
      </c>
      <c r="N8" s="106">
        <v>62500</v>
      </c>
      <c r="O8" s="106">
        <v>6141.95</v>
      </c>
      <c r="P8" s="105">
        <v>30</v>
      </c>
    </row>
    <row r="9" spans="1:16">
      <c r="A9" s="7">
        <v>10298.36</v>
      </c>
      <c r="B9" s="8">
        <v>1090.6099999999999</v>
      </c>
      <c r="C9" s="9">
        <v>0.21360000000000001</v>
      </c>
      <c r="D9" s="35"/>
      <c r="E9" s="112">
        <v>5081.41</v>
      </c>
      <c r="F9" s="8">
        <v>538.20000000000005</v>
      </c>
      <c r="G9" s="9">
        <v>0.21360000000000001</v>
      </c>
      <c r="I9" s="112">
        <v>2371.33</v>
      </c>
      <c r="J9" s="114">
        <v>251.16</v>
      </c>
      <c r="K9" s="115">
        <v>0.21360000000000001</v>
      </c>
      <c r="M9" s="106">
        <v>62500.01</v>
      </c>
      <c r="N9" s="106">
        <v>83333.33</v>
      </c>
      <c r="O9" s="106">
        <v>15070.9</v>
      </c>
      <c r="P9" s="105">
        <v>32</v>
      </c>
    </row>
    <row r="10" spans="1:16">
      <c r="A10" s="7">
        <v>20770.3</v>
      </c>
      <c r="B10" s="8">
        <v>3327.42</v>
      </c>
      <c r="C10" s="9">
        <v>0.23519999999999999</v>
      </c>
      <c r="D10" s="35"/>
      <c r="E10" s="112">
        <v>10248.459999999999</v>
      </c>
      <c r="F10" s="8">
        <v>1641.75</v>
      </c>
      <c r="G10" s="9">
        <v>0.23519999999999999</v>
      </c>
      <c r="I10" s="112">
        <v>4782.62</v>
      </c>
      <c r="J10" s="114">
        <v>766.15</v>
      </c>
      <c r="K10" s="115">
        <v>0.23519999999999999</v>
      </c>
      <c r="M10" s="106">
        <v>83333.34</v>
      </c>
      <c r="N10" s="106">
        <v>250000</v>
      </c>
      <c r="O10" s="106">
        <v>21737.57</v>
      </c>
      <c r="P10" s="105">
        <v>34</v>
      </c>
    </row>
    <row r="11" spans="1:16" ht="13.5" thickBot="1">
      <c r="A11" s="7">
        <v>32736.84</v>
      </c>
      <c r="B11" s="8">
        <v>6141.95</v>
      </c>
      <c r="C11" s="9">
        <v>0.3</v>
      </c>
      <c r="D11" s="35"/>
      <c r="E11" s="112">
        <v>16153.06</v>
      </c>
      <c r="F11" s="8">
        <v>3030.6</v>
      </c>
      <c r="G11" s="9">
        <v>0.3</v>
      </c>
      <c r="I11" s="112">
        <v>7538.1</v>
      </c>
      <c r="J11" s="117">
        <v>1414.28</v>
      </c>
      <c r="K11" s="116">
        <v>0.3</v>
      </c>
      <c r="M11" s="107">
        <v>250000.01</v>
      </c>
      <c r="N11" s="108" t="s">
        <v>359</v>
      </c>
      <c r="O11" s="107">
        <v>78404.23</v>
      </c>
      <c r="P11" s="108">
        <v>35</v>
      </c>
    </row>
    <row r="12" spans="1:16" ht="13.5" thickTop="1">
      <c r="A12" s="7">
        <v>62500.01</v>
      </c>
      <c r="B12" s="8">
        <v>15070.9</v>
      </c>
      <c r="C12" s="9">
        <v>0.32</v>
      </c>
      <c r="D12" s="35"/>
      <c r="E12" s="112">
        <v>30838.81</v>
      </c>
      <c r="F12" s="8">
        <v>7436.25</v>
      </c>
      <c r="G12" s="110">
        <v>0.32</v>
      </c>
      <c r="I12" s="112">
        <v>14391.45</v>
      </c>
      <c r="J12" s="117">
        <v>3470.25</v>
      </c>
      <c r="K12" s="116">
        <v>0.32</v>
      </c>
      <c r="M12" s="106"/>
      <c r="N12" s="106"/>
      <c r="O12" s="106"/>
      <c r="P12" s="105"/>
    </row>
    <row r="13" spans="1:16">
      <c r="A13" s="7">
        <v>83333.34</v>
      </c>
      <c r="B13" s="8">
        <v>21737.57</v>
      </c>
      <c r="C13" s="9">
        <v>0.34</v>
      </c>
      <c r="D13" s="35"/>
      <c r="E13" s="112">
        <v>41118.46</v>
      </c>
      <c r="F13" s="8">
        <v>10725.75</v>
      </c>
      <c r="G13" s="9">
        <v>0.34</v>
      </c>
      <c r="I13" s="112">
        <v>19188.62</v>
      </c>
      <c r="J13" s="117">
        <v>5005.3500000000004</v>
      </c>
      <c r="K13" s="116">
        <v>0.34</v>
      </c>
      <c r="M13" s="106"/>
      <c r="N13" s="106"/>
      <c r="O13" s="106"/>
      <c r="P13" s="105"/>
    </row>
    <row r="14" spans="1:16" ht="13.5" thickBot="1">
      <c r="A14" s="11">
        <v>250000.01</v>
      </c>
      <c r="B14" s="12">
        <v>78404.23</v>
      </c>
      <c r="C14" s="13">
        <v>0.35</v>
      </c>
      <c r="D14" s="35"/>
      <c r="E14" s="113">
        <v>123355.21</v>
      </c>
      <c r="F14" s="12">
        <v>38686.35</v>
      </c>
      <c r="G14" s="13">
        <v>0.35</v>
      </c>
      <c r="I14" s="113">
        <v>57565.77</v>
      </c>
      <c r="J14" s="118">
        <v>18053.63</v>
      </c>
      <c r="K14" s="119">
        <v>0.35</v>
      </c>
      <c r="M14" s="107"/>
      <c r="N14" s="108"/>
      <c r="O14" s="107"/>
      <c r="P14" s="108"/>
    </row>
    <row r="15" spans="1:16">
      <c r="A15" s="8"/>
      <c r="B15" s="8"/>
      <c r="C15" s="109"/>
      <c r="D15" s="35"/>
      <c r="E15" s="8"/>
      <c r="F15" s="8"/>
      <c r="G15" s="109"/>
      <c r="I15" s="8"/>
      <c r="J15" s="8"/>
      <c r="K15" s="109"/>
    </row>
    <row r="16" spans="1:16">
      <c r="A16" s="8"/>
      <c r="B16" s="8"/>
      <c r="C16" s="109"/>
      <c r="D16" s="35"/>
      <c r="E16" s="8"/>
      <c r="F16" s="8"/>
      <c r="G16" s="109"/>
      <c r="I16" s="14"/>
      <c r="J16" s="14"/>
      <c r="K16" s="14"/>
    </row>
    <row r="17" spans="1:14">
      <c r="A17" s="8"/>
      <c r="B17" s="8"/>
      <c r="C17" s="109"/>
      <c r="D17" s="35"/>
      <c r="E17" s="8"/>
      <c r="F17" s="8"/>
      <c r="G17" s="109"/>
      <c r="I17" s="10" t="s">
        <v>118</v>
      </c>
      <c r="J17" s="10"/>
      <c r="K17" s="10"/>
    </row>
    <row r="18" spans="1:14" ht="13.5" thickBot="1">
      <c r="A18" s="10"/>
      <c r="B18" s="10"/>
      <c r="C18" s="10"/>
      <c r="E18" s="10"/>
      <c r="F18" s="10"/>
      <c r="G18" s="109"/>
      <c r="I18" s="10"/>
      <c r="J18" s="10"/>
      <c r="K18" s="10"/>
    </row>
    <row r="19" spans="1:14">
      <c r="A19" s="227" t="s">
        <v>119</v>
      </c>
      <c r="B19" s="228"/>
      <c r="C19" s="10"/>
      <c r="E19" s="227" t="s">
        <v>119</v>
      </c>
      <c r="F19" s="228"/>
      <c r="G19" s="109"/>
      <c r="I19" s="227" t="s">
        <v>119</v>
      </c>
      <c r="J19" s="228"/>
      <c r="K19" s="10"/>
    </row>
    <row r="20" spans="1:14">
      <c r="A20" s="229">
        <f>+A2</f>
        <v>2015</v>
      </c>
      <c r="B20" s="230"/>
      <c r="C20" s="10"/>
      <c r="E20" s="229">
        <f>+E2</f>
        <v>2015</v>
      </c>
      <c r="F20" s="230"/>
      <c r="G20" s="14"/>
      <c r="I20" s="229">
        <f>+I2</f>
        <v>2015</v>
      </c>
      <c r="J20" s="230"/>
      <c r="K20" s="10"/>
      <c r="L20" s="105">
        <v>0.01</v>
      </c>
      <c r="M20" s="106">
        <v>1768.96</v>
      </c>
      <c r="N20" s="105">
        <v>407.02</v>
      </c>
    </row>
    <row r="21" spans="1:14">
      <c r="A21" s="15" t="s">
        <v>120</v>
      </c>
      <c r="B21" s="6" t="s">
        <v>121</v>
      </c>
      <c r="C21" s="10"/>
      <c r="E21" s="15" t="s">
        <v>120</v>
      </c>
      <c r="F21" s="6" t="s">
        <v>121</v>
      </c>
      <c r="G21" s="10"/>
      <c r="I21" s="15" t="s">
        <v>120</v>
      </c>
      <c r="J21" s="6" t="s">
        <v>121</v>
      </c>
      <c r="K21" s="10"/>
      <c r="L21" s="106">
        <v>1768.97</v>
      </c>
      <c r="M21" s="106">
        <v>2653.38</v>
      </c>
      <c r="N21" s="105">
        <v>406.83</v>
      </c>
    </row>
    <row r="22" spans="1:14">
      <c r="A22" s="15" t="s">
        <v>122</v>
      </c>
      <c r="B22" s="6" t="s">
        <v>123</v>
      </c>
      <c r="C22" s="10"/>
      <c r="E22" s="15" t="s">
        <v>122</v>
      </c>
      <c r="F22" s="6" t="s">
        <v>124</v>
      </c>
      <c r="G22" s="10"/>
      <c r="I22" s="15" t="s">
        <v>122</v>
      </c>
      <c r="J22" s="6" t="s">
        <v>125</v>
      </c>
      <c r="K22" s="10"/>
      <c r="L22" s="106">
        <v>2653.39</v>
      </c>
      <c r="M22" s="106">
        <v>3472.84</v>
      </c>
      <c r="N22" s="105">
        <v>406.62</v>
      </c>
    </row>
    <row r="23" spans="1:14">
      <c r="A23" s="7">
        <v>0.01</v>
      </c>
      <c r="B23" s="105">
        <v>407.02</v>
      </c>
      <c r="C23" s="10"/>
      <c r="D23" s="35"/>
      <c r="E23" s="7">
        <v>0.01</v>
      </c>
      <c r="F23" s="16">
        <v>200.85</v>
      </c>
      <c r="G23" s="10"/>
      <c r="I23" s="7">
        <v>0.01</v>
      </c>
      <c r="J23" s="16">
        <v>93.73</v>
      </c>
      <c r="K23" s="10"/>
      <c r="L23" s="106">
        <v>3472.85</v>
      </c>
      <c r="M23" s="106">
        <v>3537.87</v>
      </c>
      <c r="N23" s="105">
        <v>392.77</v>
      </c>
    </row>
    <row r="24" spans="1:14">
      <c r="A24" s="7">
        <v>1768.97</v>
      </c>
      <c r="B24" s="105">
        <v>406.83</v>
      </c>
      <c r="C24" s="10"/>
      <c r="D24" s="35"/>
      <c r="E24" s="7">
        <v>872.86</v>
      </c>
      <c r="F24" s="16">
        <v>200.7</v>
      </c>
      <c r="G24" s="10"/>
      <c r="I24" s="7">
        <v>407.34</v>
      </c>
      <c r="J24" s="16">
        <v>93.66</v>
      </c>
      <c r="K24" s="10"/>
      <c r="L24" s="106">
        <v>3537.88</v>
      </c>
      <c r="M24" s="106">
        <v>4446.1499999999996</v>
      </c>
      <c r="N24" s="105">
        <v>382.46</v>
      </c>
    </row>
    <row r="25" spans="1:14">
      <c r="A25" s="7">
        <v>2653.39</v>
      </c>
      <c r="B25" s="105">
        <v>406.62</v>
      </c>
      <c r="C25" s="10"/>
      <c r="D25" s="35"/>
      <c r="E25" s="7">
        <v>1309.21</v>
      </c>
      <c r="F25" s="16">
        <v>200.7</v>
      </c>
      <c r="G25" s="10"/>
      <c r="I25" s="7">
        <v>610.97</v>
      </c>
      <c r="J25" s="16">
        <v>93.66</v>
      </c>
      <c r="K25" s="10"/>
      <c r="L25" s="106">
        <v>4446.16</v>
      </c>
      <c r="M25" s="106">
        <v>4717.18</v>
      </c>
      <c r="N25" s="105">
        <v>354.23</v>
      </c>
    </row>
    <row r="26" spans="1:14">
      <c r="A26" s="7">
        <v>3472.85</v>
      </c>
      <c r="B26" s="105">
        <v>392.77</v>
      </c>
      <c r="C26" s="10"/>
      <c r="D26" s="35"/>
      <c r="E26" s="7">
        <v>1713.61</v>
      </c>
      <c r="F26" s="16">
        <v>193.8</v>
      </c>
      <c r="G26" s="10"/>
      <c r="I26" s="7">
        <v>799.69</v>
      </c>
      <c r="J26" s="16">
        <v>90.44</v>
      </c>
      <c r="K26" s="10"/>
      <c r="L26" s="106">
        <v>4717.1899999999996</v>
      </c>
      <c r="M26" s="106">
        <v>5335.42</v>
      </c>
      <c r="N26" s="105">
        <v>324.87</v>
      </c>
    </row>
    <row r="27" spans="1:14">
      <c r="A27" s="7">
        <v>3537.88</v>
      </c>
      <c r="B27" s="105">
        <v>382.46</v>
      </c>
      <c r="C27" s="10"/>
      <c r="D27" s="35"/>
      <c r="E27" s="7">
        <v>1745.71</v>
      </c>
      <c r="F27" s="16">
        <v>188.7</v>
      </c>
      <c r="G27" s="10"/>
      <c r="I27" s="7">
        <v>814.67</v>
      </c>
      <c r="J27" s="16">
        <v>88.06</v>
      </c>
      <c r="K27" s="10"/>
      <c r="L27" s="106">
        <v>5335.43</v>
      </c>
      <c r="M27" s="106">
        <v>6224.67</v>
      </c>
      <c r="N27" s="105">
        <v>294.63</v>
      </c>
    </row>
    <row r="28" spans="1:14">
      <c r="A28" s="7">
        <v>4446.16</v>
      </c>
      <c r="B28" s="105">
        <v>354.23</v>
      </c>
      <c r="C28" s="10"/>
      <c r="D28" s="35"/>
      <c r="E28" s="7">
        <v>2193.7600000000002</v>
      </c>
      <c r="F28" s="16">
        <v>174.75</v>
      </c>
      <c r="G28" s="10"/>
      <c r="I28" s="7">
        <v>1023.76</v>
      </c>
      <c r="J28" s="16">
        <v>81.55</v>
      </c>
      <c r="K28" s="10"/>
      <c r="L28" s="106">
        <v>6224.68</v>
      </c>
      <c r="M28" s="106">
        <v>7113.9</v>
      </c>
      <c r="N28" s="105">
        <v>253.54</v>
      </c>
    </row>
    <row r="29" spans="1:14">
      <c r="A29" s="7">
        <v>4717.1899999999996</v>
      </c>
      <c r="B29" s="105">
        <v>324.87</v>
      </c>
      <c r="C29" s="10"/>
      <c r="D29" s="35"/>
      <c r="E29" s="7">
        <v>2327.56</v>
      </c>
      <c r="F29" s="16">
        <v>160.35</v>
      </c>
      <c r="G29" s="10"/>
      <c r="I29" s="7">
        <v>1086.2</v>
      </c>
      <c r="J29" s="16">
        <v>74.83</v>
      </c>
      <c r="K29" s="10"/>
      <c r="L29" s="106">
        <v>7113.91</v>
      </c>
      <c r="M29" s="106">
        <v>7382.33</v>
      </c>
      <c r="N29" s="105">
        <v>217.61</v>
      </c>
    </row>
    <row r="30" spans="1:14" ht="13.5" thickBot="1">
      <c r="A30" s="7">
        <v>5335.43</v>
      </c>
      <c r="B30" s="105">
        <v>294.63</v>
      </c>
      <c r="C30" s="10"/>
      <c r="D30" s="35"/>
      <c r="E30" s="7">
        <v>2632.66</v>
      </c>
      <c r="F30" s="16">
        <v>145.35</v>
      </c>
      <c r="G30" s="10"/>
      <c r="I30" s="7">
        <v>1228.58</v>
      </c>
      <c r="J30" s="16">
        <v>67.83</v>
      </c>
      <c r="K30" s="10"/>
      <c r="L30" s="107">
        <v>7382.34</v>
      </c>
      <c r="M30" s="108" t="s">
        <v>359</v>
      </c>
      <c r="N30" s="108">
        <v>0</v>
      </c>
    </row>
    <row r="31" spans="1:14" ht="13.5" thickTop="1">
      <c r="A31" s="7">
        <v>6224.68</v>
      </c>
      <c r="B31" s="105">
        <v>253.54</v>
      </c>
      <c r="C31" s="10"/>
      <c r="D31" s="35"/>
      <c r="E31" s="7">
        <v>3071.41</v>
      </c>
      <c r="F31" s="16">
        <v>125.1</v>
      </c>
      <c r="G31" s="10"/>
      <c r="I31" s="7">
        <v>1433.33</v>
      </c>
      <c r="J31" s="16">
        <v>58.38</v>
      </c>
      <c r="K31" s="10"/>
    </row>
    <row r="32" spans="1:14">
      <c r="A32" s="7">
        <v>7113.91</v>
      </c>
      <c r="B32" s="105">
        <v>217.61</v>
      </c>
      <c r="C32" s="10"/>
      <c r="D32" s="35"/>
      <c r="E32" s="7">
        <v>3510.16</v>
      </c>
      <c r="F32" s="16">
        <v>107.4</v>
      </c>
      <c r="G32" s="10"/>
      <c r="I32" s="7">
        <v>1638.08</v>
      </c>
      <c r="J32" s="16">
        <v>50.12</v>
      </c>
      <c r="K32" s="10"/>
    </row>
    <row r="33" spans="1:11" ht="13.5" thickBot="1">
      <c r="A33" s="11">
        <v>7382.34</v>
      </c>
      <c r="B33" s="108">
        <v>0</v>
      </c>
      <c r="C33" s="10"/>
      <c r="D33" s="35"/>
      <c r="E33" s="11">
        <v>3642.61</v>
      </c>
      <c r="F33" s="17">
        <v>0</v>
      </c>
      <c r="G33" s="10"/>
      <c r="I33" s="11">
        <v>1699.89</v>
      </c>
      <c r="J33" s="17">
        <v>0</v>
      </c>
      <c r="K33" s="10"/>
    </row>
    <row r="34" spans="1:11">
      <c r="A34" s="14"/>
      <c r="B34" s="14"/>
      <c r="C34" s="10"/>
      <c r="G34" s="10"/>
    </row>
    <row r="35" spans="1:11">
      <c r="G35" s="10"/>
    </row>
    <row r="36" spans="1:11" ht="13.5" thickBot="1">
      <c r="G36" s="10"/>
    </row>
    <row r="37" spans="1:11">
      <c r="A37" s="33" t="s">
        <v>108</v>
      </c>
      <c r="B37" s="32" t="s">
        <v>0</v>
      </c>
      <c r="C37" s="32" t="s">
        <v>131</v>
      </c>
      <c r="D37" s="32"/>
      <c r="E37" s="32" t="s">
        <v>126</v>
      </c>
      <c r="F37" s="34"/>
      <c r="G37" s="10"/>
    </row>
    <row r="38" spans="1:11">
      <c r="A38" s="22">
        <v>1</v>
      </c>
      <c r="B38" s="21">
        <v>1</v>
      </c>
      <c r="C38" s="20">
        <v>1</v>
      </c>
      <c r="D38" s="18" t="s">
        <v>17</v>
      </c>
      <c r="E38" s="2"/>
      <c r="F38" s="23"/>
    </row>
    <row r="39" spans="1:11">
      <c r="A39" s="24">
        <v>1</v>
      </c>
      <c r="B39" s="25">
        <v>2</v>
      </c>
      <c r="C39" s="20">
        <v>2</v>
      </c>
      <c r="D39" s="18" t="s">
        <v>22</v>
      </c>
      <c r="E39" s="2"/>
      <c r="F39" s="23"/>
    </row>
    <row r="40" spans="1:11">
      <c r="A40" s="24">
        <v>1</v>
      </c>
      <c r="B40" s="25">
        <v>5</v>
      </c>
      <c r="C40" s="20">
        <v>3</v>
      </c>
      <c r="D40" s="19" t="s">
        <v>25</v>
      </c>
      <c r="E40" s="2"/>
      <c r="F40" s="23"/>
    </row>
    <row r="41" spans="1:11">
      <c r="A41" s="24">
        <v>1</v>
      </c>
      <c r="B41" s="25">
        <v>6</v>
      </c>
      <c r="C41" s="20">
        <v>4</v>
      </c>
      <c r="D41" s="19" t="s">
        <v>27</v>
      </c>
      <c r="E41" s="2"/>
      <c r="F41" s="23"/>
    </row>
    <row r="42" spans="1:11">
      <c r="A42" s="24">
        <v>1</v>
      </c>
      <c r="B42" s="25">
        <v>7</v>
      </c>
      <c r="C42" s="20">
        <v>5</v>
      </c>
      <c r="D42" s="18" t="s">
        <v>30</v>
      </c>
      <c r="E42" s="2"/>
      <c r="F42" s="23"/>
    </row>
    <row r="43" spans="1:11">
      <c r="A43" s="24">
        <v>1</v>
      </c>
      <c r="B43" s="25">
        <v>14</v>
      </c>
      <c r="C43" s="20">
        <v>6</v>
      </c>
      <c r="D43" s="18" t="s">
        <v>33</v>
      </c>
      <c r="E43" s="2"/>
      <c r="F43" s="23"/>
    </row>
    <row r="44" spans="1:11">
      <c r="A44" s="24">
        <v>1</v>
      </c>
      <c r="B44" s="25">
        <v>16</v>
      </c>
      <c r="C44" s="20">
        <v>7</v>
      </c>
      <c r="D44" s="18" t="s">
        <v>35</v>
      </c>
      <c r="E44" s="2"/>
      <c r="F44" s="23"/>
    </row>
    <row r="45" spans="1:11">
      <c r="A45" s="24">
        <v>1</v>
      </c>
      <c r="B45" s="25">
        <v>19</v>
      </c>
      <c r="C45" s="20">
        <v>8</v>
      </c>
      <c r="D45" s="18" t="s">
        <v>38</v>
      </c>
      <c r="E45" s="2"/>
      <c r="F45" s="23"/>
    </row>
    <row r="46" spans="1:11">
      <c r="A46" s="24">
        <v>1</v>
      </c>
      <c r="B46" s="25">
        <v>23</v>
      </c>
      <c r="C46" s="20">
        <v>9</v>
      </c>
      <c r="D46" s="18" t="s">
        <v>42</v>
      </c>
      <c r="E46" s="2"/>
      <c r="F46" s="23"/>
    </row>
    <row r="47" spans="1:11">
      <c r="A47" s="24" t="s">
        <v>21</v>
      </c>
      <c r="B47" s="25" t="s">
        <v>16</v>
      </c>
      <c r="C47" s="20">
        <v>10</v>
      </c>
      <c r="D47" s="19" t="s">
        <v>46</v>
      </c>
      <c r="E47" s="2"/>
      <c r="F47" s="23"/>
    </row>
    <row r="48" spans="1:11">
      <c r="A48" s="24" t="s">
        <v>21</v>
      </c>
      <c r="B48" s="25" t="s">
        <v>21</v>
      </c>
      <c r="C48" s="20">
        <v>11</v>
      </c>
      <c r="D48" s="18" t="s">
        <v>51</v>
      </c>
      <c r="E48" s="2"/>
      <c r="F48" s="23"/>
    </row>
    <row r="49" spans="1:6">
      <c r="A49" s="24" t="s">
        <v>55</v>
      </c>
      <c r="B49" s="25" t="s">
        <v>16</v>
      </c>
      <c r="C49" s="20">
        <v>12</v>
      </c>
      <c r="D49" s="18" t="s">
        <v>57</v>
      </c>
      <c r="E49" s="2"/>
      <c r="F49" s="23"/>
    </row>
    <row r="50" spans="1:6">
      <c r="A50" s="24" t="s">
        <v>55</v>
      </c>
      <c r="B50" s="25" t="s">
        <v>55</v>
      </c>
      <c r="C50" s="20">
        <v>13</v>
      </c>
      <c r="D50" s="18" t="s">
        <v>60</v>
      </c>
      <c r="E50" s="2"/>
      <c r="F50" s="23"/>
    </row>
    <row r="51" spans="1:6">
      <c r="A51" s="24" t="s">
        <v>55</v>
      </c>
      <c r="B51" s="25" t="s">
        <v>29</v>
      </c>
      <c r="C51" s="20">
        <v>14</v>
      </c>
      <c r="D51" s="18" t="s">
        <v>63</v>
      </c>
      <c r="E51" s="2"/>
      <c r="F51" s="23"/>
    </row>
    <row r="52" spans="1:6">
      <c r="A52" s="24" t="s">
        <v>55</v>
      </c>
      <c r="B52" s="25" t="s">
        <v>64</v>
      </c>
      <c r="C52" s="20">
        <v>15</v>
      </c>
      <c r="D52" s="18" t="s">
        <v>65</v>
      </c>
      <c r="E52" s="2"/>
      <c r="F52" s="23"/>
    </row>
    <row r="53" spans="1:6">
      <c r="A53" s="24" t="s">
        <v>55</v>
      </c>
      <c r="B53" s="25" t="s">
        <v>66</v>
      </c>
      <c r="C53" s="20">
        <v>16</v>
      </c>
      <c r="D53" s="18" t="s">
        <v>67</v>
      </c>
      <c r="E53" s="2"/>
      <c r="F53" s="23"/>
    </row>
    <row r="54" spans="1:6">
      <c r="A54" s="24" t="s">
        <v>68</v>
      </c>
      <c r="B54" s="25" t="s">
        <v>16</v>
      </c>
      <c r="C54" s="20">
        <v>17</v>
      </c>
      <c r="D54" s="18" t="s">
        <v>70</v>
      </c>
      <c r="E54" s="2"/>
      <c r="F54" s="23"/>
    </row>
    <row r="55" spans="1:6">
      <c r="A55" s="24" t="s">
        <v>68</v>
      </c>
      <c r="B55" s="25" t="s">
        <v>55</v>
      </c>
      <c r="C55" s="20">
        <v>18</v>
      </c>
      <c r="D55" s="18" t="s">
        <v>72</v>
      </c>
      <c r="E55" s="2"/>
      <c r="F55" s="23"/>
    </row>
    <row r="56" spans="1:6">
      <c r="A56" s="24" t="s">
        <v>68</v>
      </c>
      <c r="B56" s="25" t="s">
        <v>68</v>
      </c>
      <c r="C56" s="20">
        <v>19</v>
      </c>
      <c r="D56" s="19" t="s">
        <v>74</v>
      </c>
      <c r="E56" s="2"/>
      <c r="F56" s="23"/>
    </row>
    <row r="57" spans="1:6">
      <c r="A57" s="24" t="s">
        <v>24</v>
      </c>
      <c r="B57" s="25" t="s">
        <v>21</v>
      </c>
      <c r="C57" s="20">
        <v>20</v>
      </c>
      <c r="D57" s="18" t="s">
        <v>75</v>
      </c>
      <c r="E57" s="2"/>
      <c r="F57" s="23"/>
    </row>
    <row r="58" spans="1:6">
      <c r="A58" s="24" t="s">
        <v>24</v>
      </c>
      <c r="B58" s="25" t="s">
        <v>55</v>
      </c>
      <c r="C58" s="20">
        <v>21</v>
      </c>
      <c r="D58" s="18" t="s">
        <v>77</v>
      </c>
      <c r="E58" s="2"/>
      <c r="F58" s="23"/>
    </row>
    <row r="59" spans="1:6">
      <c r="A59" s="24" t="s">
        <v>24</v>
      </c>
      <c r="B59" s="25" t="s">
        <v>24</v>
      </c>
      <c r="C59" s="20">
        <v>22</v>
      </c>
      <c r="D59" s="18" t="s">
        <v>78</v>
      </c>
      <c r="E59" s="2"/>
      <c r="F59" s="23"/>
    </row>
    <row r="60" spans="1:6">
      <c r="A60" s="24" t="s">
        <v>24</v>
      </c>
      <c r="B60" s="25" t="s">
        <v>29</v>
      </c>
      <c r="C60" s="20">
        <v>23</v>
      </c>
      <c r="D60" s="18" t="s">
        <v>80</v>
      </c>
      <c r="E60" s="2"/>
      <c r="F60" s="23"/>
    </row>
    <row r="61" spans="1:6">
      <c r="A61" s="24" t="s">
        <v>24</v>
      </c>
      <c r="B61" s="25" t="s">
        <v>82</v>
      </c>
      <c r="C61" s="20">
        <v>24</v>
      </c>
      <c r="D61" s="18" t="s">
        <v>83</v>
      </c>
      <c r="E61" s="2"/>
      <c r="F61" s="23"/>
    </row>
    <row r="62" spans="1:6">
      <c r="A62" s="24" t="s">
        <v>24</v>
      </c>
      <c r="B62" s="25" t="s">
        <v>84</v>
      </c>
      <c r="C62" s="20">
        <v>25</v>
      </c>
      <c r="D62" s="18" t="s">
        <v>85</v>
      </c>
      <c r="E62" s="2"/>
      <c r="F62" s="23"/>
    </row>
    <row r="63" spans="1:6">
      <c r="A63" s="24" t="s">
        <v>24</v>
      </c>
      <c r="B63" s="25" t="s">
        <v>86</v>
      </c>
      <c r="C63" s="20">
        <v>26</v>
      </c>
      <c r="D63" s="18" t="s">
        <v>89</v>
      </c>
      <c r="E63" s="2"/>
      <c r="F63" s="23"/>
    </row>
    <row r="64" spans="1:6">
      <c r="A64" s="24" t="s">
        <v>24</v>
      </c>
      <c r="B64" s="25" t="s">
        <v>90</v>
      </c>
      <c r="C64" s="20">
        <v>27</v>
      </c>
      <c r="D64" s="18" t="s">
        <v>91</v>
      </c>
      <c r="E64" s="2"/>
      <c r="F64" s="23"/>
    </row>
    <row r="65" spans="1:6">
      <c r="A65" s="24" t="s">
        <v>24</v>
      </c>
      <c r="B65" s="25" t="s">
        <v>32</v>
      </c>
      <c r="C65" s="20">
        <v>28</v>
      </c>
      <c r="D65" s="18" t="s">
        <v>92</v>
      </c>
      <c r="E65" s="2"/>
      <c r="F65" s="23"/>
    </row>
    <row r="66" spans="1:6">
      <c r="A66" s="24" t="s">
        <v>24</v>
      </c>
      <c r="B66" s="25" t="s">
        <v>93</v>
      </c>
      <c r="C66" s="20">
        <v>29</v>
      </c>
      <c r="D66" s="18" t="s">
        <v>96</v>
      </c>
      <c r="E66" s="2"/>
      <c r="F66" s="23"/>
    </row>
    <row r="67" spans="1:6">
      <c r="A67" s="24" t="s">
        <v>24</v>
      </c>
      <c r="B67" s="25" t="s">
        <v>97</v>
      </c>
      <c r="C67" s="20">
        <v>30</v>
      </c>
      <c r="D67" s="18" t="s">
        <v>98</v>
      </c>
      <c r="E67" s="2"/>
      <c r="F67" s="23"/>
    </row>
    <row r="68" spans="1:6">
      <c r="A68" s="24" t="s">
        <v>90</v>
      </c>
      <c r="B68" s="25" t="s">
        <v>99</v>
      </c>
      <c r="C68" s="20">
        <v>31</v>
      </c>
      <c r="D68" s="18" t="s">
        <v>100</v>
      </c>
      <c r="E68" s="2"/>
      <c r="F68" s="23"/>
    </row>
    <row r="69" spans="1:6" ht="13.5" thickBot="1">
      <c r="A69" s="26" t="s">
        <v>90</v>
      </c>
      <c r="B69" s="27" t="s">
        <v>106</v>
      </c>
      <c r="C69" s="28">
        <v>32</v>
      </c>
      <c r="D69" s="29" t="s">
        <v>107</v>
      </c>
      <c r="E69" s="30"/>
      <c r="F69" s="31"/>
    </row>
    <row r="70" spans="1:6">
      <c r="A70" s="1"/>
      <c r="B70" s="20"/>
    </row>
    <row r="71" spans="1:6">
      <c r="A71" s="1"/>
      <c r="B71" s="20"/>
    </row>
    <row r="72" spans="1:6">
      <c r="A72" s="1"/>
      <c r="B72" s="20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</sheetData>
  <mergeCells count="12">
    <mergeCell ref="A1:C1"/>
    <mergeCell ref="E1:G1"/>
    <mergeCell ref="I1:K1"/>
    <mergeCell ref="A2:C2"/>
    <mergeCell ref="E2:G2"/>
    <mergeCell ref="I2:K2"/>
    <mergeCell ref="A19:B19"/>
    <mergeCell ref="E19:F19"/>
    <mergeCell ref="I19:J19"/>
    <mergeCell ref="A20:B20"/>
    <mergeCell ref="E20:F20"/>
    <mergeCell ref="I20:J20"/>
  </mergeCells>
  <phoneticPr fontId="3" type="noConversion"/>
  <pageMargins left="0.75" right="0.75" top="1" bottom="1" header="0" footer="0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topLeftCell="A16"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1A DE SEPTIEMBRE 2016</vt:lpstr>
      <vt:lpstr>Tablas 2015</vt:lpstr>
      <vt:lpstr>Hoja1</vt:lpstr>
      <vt:lpstr>DEPENDENCIA</vt:lpstr>
      <vt:lpstr>quincenal</vt:lpstr>
      <vt:lpstr>semanal</vt:lpstr>
      <vt:lpstr>submensual</vt:lpstr>
      <vt:lpstr>subquincenal</vt:lpstr>
      <vt:lpstr>subsemanal</vt:lpstr>
      <vt:lpstr>tablas</vt:lpstr>
      <vt:lpstr>tarifa</vt:lpstr>
      <vt:lpstr>tarifamens</vt:lpstr>
      <vt:lpstr>'1A DE SEPTIEMBRE 2016'!Títulos_a_imprimir</vt:lpstr>
    </vt:vector>
  </TitlesOfParts>
  <Company>M&amp;S FISCAL CONTADORES PUBLICOS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JUAN LUIS MARMOLEJO GONZALEZ</dc:creator>
  <cp:lastModifiedBy>Transparencia</cp:lastModifiedBy>
  <cp:lastPrinted>2016-08-30T18:43:57Z</cp:lastPrinted>
  <dcterms:created xsi:type="dcterms:W3CDTF">2008-03-27T20:42:15Z</dcterms:created>
  <dcterms:modified xsi:type="dcterms:W3CDTF">2016-11-22T16:16:28Z</dcterms:modified>
</cp:coreProperties>
</file>